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 firstSheet="10" activeTab="11"/>
  </bookViews>
  <sheets>
    <sheet name="швейное дело" sheetId="11" state="hidden" r:id="rId1"/>
    <sheet name="гитара" sheetId="9" state="hidden" r:id="rId2"/>
    <sheet name="аэробика" sheetId="7" state="hidden" r:id="rId3"/>
    <sheet name="хореография" sheetId="6" state="hidden" r:id="rId4"/>
    <sheet name="гимнастика" sheetId="1" state="hidden" r:id="rId5"/>
    <sheet name="Подготовка к ГИА (матем)" sheetId="40" r:id="rId6"/>
    <sheet name="Обучение чтению" sheetId="39" r:id="rId7"/>
    <sheet name="За страницами учебника" sheetId="35" r:id="rId8"/>
    <sheet name="ступеньки к школе" sheetId="20" r:id="rId9"/>
    <sheet name="Подготовка к ГИА (рус.яз)" sheetId="34" r:id="rId10"/>
    <sheet name="Подготовка к ГИА (обществознани" sheetId="41" r:id="rId11"/>
    <sheet name="Подготовка к ГИА (история)" sheetId="42" r:id="rId12"/>
    <sheet name="Решение заним.матем.задан" sheetId="36" r:id="rId13"/>
  </sheets>
  <definedNames>
    <definedName name="_GoBack" localSheetId="2">аэробика!#REF!</definedName>
    <definedName name="_GoBack" localSheetId="4">гимнастика!#REF!</definedName>
    <definedName name="_GoBack" localSheetId="1">гитара!#REF!</definedName>
    <definedName name="_GoBack" localSheetId="7">'За страницами учебника'!#REF!</definedName>
    <definedName name="_GoBack" localSheetId="6">'Обучение чтению'!#REF!</definedName>
    <definedName name="_GoBack" localSheetId="5">'Подготовка к ГИА (матем)'!#REF!</definedName>
    <definedName name="_GoBack" localSheetId="9">'Подготовка к ГИА (рус.яз)'!#REF!</definedName>
    <definedName name="_GoBack" localSheetId="12">'Решение заним.матем.задан'!#REF!</definedName>
    <definedName name="_GoBack" localSheetId="8">'ступеньки к школе'!#REF!</definedName>
    <definedName name="_GoBack" localSheetId="3">хореография!#REF!</definedName>
    <definedName name="_GoBack" localSheetId="0">'швейное дело'!#REF!</definedName>
    <definedName name="_xlnm.Print_Area" localSheetId="7">'За страницами учебника'!$A$1:$E$93</definedName>
    <definedName name="_xlnm.Print_Area" localSheetId="6">'Обучение чтению'!$A$1:$E$89</definedName>
    <definedName name="_xlnm.Print_Area" localSheetId="5">'Подготовка к ГИА (матем)'!$A$1:$E$88</definedName>
    <definedName name="_xlnm.Print_Area" localSheetId="9">'Подготовка к ГИА (рус.яз)'!$A$1:$E$88</definedName>
    <definedName name="_xlnm.Print_Area" localSheetId="12">'Решение заним.матем.задан'!$A$1:$E$88</definedName>
    <definedName name="_xlnm.Print_Area" localSheetId="8">'ступеньки к школе'!$A$1:$E$92</definedName>
  </definedNames>
  <calcPr calcId="152511"/>
</workbook>
</file>

<file path=xl/calcChain.xml><?xml version="1.0" encoding="utf-8"?>
<calcChain xmlns="http://schemas.openxmlformats.org/spreadsheetml/2006/main">
  <c r="E65" i="42" l="1"/>
  <c r="E66" i="42" s="1"/>
  <c r="E52" i="42"/>
  <c r="E36" i="42"/>
  <c r="E35" i="42"/>
  <c r="E34" i="42"/>
  <c r="E33" i="42"/>
  <c r="E31" i="42"/>
  <c r="E38" i="42" s="1"/>
  <c r="E39" i="42" s="1"/>
  <c r="E19" i="42"/>
  <c r="E18" i="42"/>
  <c r="E9" i="42"/>
  <c r="E43" i="42" s="1"/>
  <c r="E66" i="41"/>
  <c r="E65" i="41"/>
  <c r="E52" i="41"/>
  <c r="E43" i="41"/>
  <c r="E45" i="41" s="1"/>
  <c r="E36" i="41"/>
  <c r="E35" i="41"/>
  <c r="E34" i="41"/>
  <c r="E33" i="41"/>
  <c r="E38" i="41" s="1"/>
  <c r="E39" i="41" s="1"/>
  <c r="E31" i="41"/>
  <c r="E19" i="41"/>
  <c r="E22" i="41" s="1"/>
  <c r="E23" i="41" s="1"/>
  <c r="E18" i="41"/>
  <c r="E21" i="41" s="1"/>
  <c r="E12" i="41"/>
  <c r="E9" i="41"/>
  <c r="E44" i="41" s="1"/>
  <c r="E31" i="36"/>
  <c r="E31" i="20"/>
  <c r="E31" i="35"/>
  <c r="E34" i="35"/>
  <c r="E33" i="35"/>
  <c r="E32" i="35"/>
  <c r="E31" i="34"/>
  <c r="E31" i="40"/>
  <c r="E38" i="40" s="1"/>
  <c r="E39" i="40" s="1"/>
  <c r="E31" i="39"/>
  <c r="E39" i="39" s="1"/>
  <c r="E40" i="39" s="1"/>
  <c r="E9" i="40"/>
  <c r="E12" i="40" s="1"/>
  <c r="E18" i="40"/>
  <c r="E22" i="40" s="1"/>
  <c r="E19" i="40"/>
  <c r="E21" i="40"/>
  <c r="E33" i="40"/>
  <c r="E34" i="40"/>
  <c r="E35" i="40"/>
  <c r="E36" i="40"/>
  <c r="E44" i="40"/>
  <c r="E52" i="40"/>
  <c r="E65" i="40"/>
  <c r="E66" i="40"/>
  <c r="E40" i="35"/>
  <c r="E39" i="20"/>
  <c r="E40" i="20"/>
  <c r="E38" i="20"/>
  <c r="E36" i="20"/>
  <c r="E35" i="20"/>
  <c r="E34" i="20"/>
  <c r="E33" i="20"/>
  <c r="E36" i="34"/>
  <c r="E34" i="34"/>
  <c r="E33" i="34"/>
  <c r="E35" i="34"/>
  <c r="E38" i="34"/>
  <c r="E39" i="34" s="1"/>
  <c r="E34" i="36"/>
  <c r="E33" i="36"/>
  <c r="E35" i="36"/>
  <c r="E36" i="36"/>
  <c r="E18" i="36"/>
  <c r="E19" i="36"/>
  <c r="E21" i="36"/>
  <c r="E9" i="36"/>
  <c r="E52" i="36"/>
  <c r="E65" i="36"/>
  <c r="E66" i="36" s="1"/>
  <c r="E18" i="34"/>
  <c r="E19" i="34"/>
  <c r="E21" i="34" s="1"/>
  <c r="E22" i="34"/>
  <c r="E23" i="34" s="1"/>
  <c r="E27" i="34" s="1"/>
  <c r="E9" i="34"/>
  <c r="E12" i="34"/>
  <c r="E52" i="34"/>
  <c r="E65" i="34"/>
  <c r="E66" i="34" s="1"/>
  <c r="E18" i="20"/>
  <c r="E19" i="20"/>
  <c r="E21" i="20"/>
  <c r="E9" i="20"/>
  <c r="E12" i="20" s="1"/>
  <c r="E55" i="20"/>
  <c r="E68" i="20"/>
  <c r="E69" i="20" s="1"/>
  <c r="E18" i="35"/>
  <c r="E19" i="35"/>
  <c r="E21" i="35"/>
  <c r="E9" i="35"/>
  <c r="E12" i="35"/>
  <c r="E57" i="35"/>
  <c r="E70" i="35"/>
  <c r="E71" i="35"/>
  <c r="E66" i="39"/>
  <c r="E67" i="39" s="1"/>
  <c r="E37" i="39"/>
  <c r="E9" i="39"/>
  <c r="E12" i="39" s="1"/>
  <c r="E18" i="39"/>
  <c r="E21" i="39" s="1"/>
  <c r="E19" i="39"/>
  <c r="E53" i="39"/>
  <c r="E49" i="35"/>
  <c r="E48" i="35"/>
  <c r="E50" i="35"/>
  <c r="E43" i="34"/>
  <c r="E44" i="34"/>
  <c r="E45" i="34" s="1"/>
  <c r="E31" i="9"/>
  <c r="E32" i="1"/>
  <c r="E62" i="11"/>
  <c r="E63" i="11"/>
  <c r="E8" i="11"/>
  <c r="E39" i="11"/>
  <c r="E40" i="11" s="1"/>
  <c r="E18" i="11"/>
  <c r="E19" i="11"/>
  <c r="E20" i="11"/>
  <c r="E30" i="11"/>
  <c r="E33" i="11"/>
  <c r="E34" i="11" s="1"/>
  <c r="C70" i="11"/>
  <c r="E8" i="9"/>
  <c r="E36" i="9"/>
  <c r="E38" i="9" s="1"/>
  <c r="E18" i="9"/>
  <c r="E20" i="9" s="1"/>
  <c r="E19" i="9"/>
  <c r="E37" i="9"/>
  <c r="E60" i="9"/>
  <c r="E61" i="9" s="1"/>
  <c r="C68" i="9"/>
  <c r="E8" i="7"/>
  <c r="E38" i="7"/>
  <c r="E40" i="7" s="1"/>
  <c r="E18" i="7"/>
  <c r="E19" i="7"/>
  <c r="E20" i="7" s="1"/>
  <c r="E32" i="7"/>
  <c r="E37" i="7"/>
  <c r="E62" i="7"/>
  <c r="E63" i="7" s="1"/>
  <c r="C70" i="7"/>
  <c r="E18" i="6"/>
  <c r="E19" i="6"/>
  <c r="E8" i="6"/>
  <c r="E40" i="6"/>
  <c r="E31" i="6"/>
  <c r="E34" i="6" s="1"/>
  <c r="E35" i="6"/>
  <c r="E62" i="6"/>
  <c r="E63" i="6"/>
  <c r="C70" i="6"/>
  <c r="C70" i="1"/>
  <c r="E62" i="1"/>
  <c r="E18" i="1"/>
  <c r="E19" i="1"/>
  <c r="E8" i="1"/>
  <c r="E39" i="1"/>
  <c r="E40" i="1" s="1"/>
  <c r="E38" i="1"/>
  <c r="E41" i="6"/>
  <c r="E39" i="7"/>
  <c r="E43" i="36"/>
  <c r="E44" i="39"/>
  <c r="E45" i="39"/>
  <c r="E63" i="1"/>
  <c r="E46" i="20"/>
  <c r="E37" i="1"/>
  <c r="E21" i="11"/>
  <c r="E22" i="11" s="1"/>
  <c r="E47" i="20"/>
  <c r="E22" i="39"/>
  <c r="E23" i="39" s="1"/>
  <c r="E56" i="39" s="1"/>
  <c r="E48" i="20"/>
  <c r="E27" i="39"/>
  <c r="E21" i="42" l="1"/>
  <c r="E22" i="42" s="1"/>
  <c r="E23" i="42" s="1"/>
  <c r="E44" i="42"/>
  <c r="E45" i="42" s="1"/>
  <c r="E12" i="42"/>
  <c r="E55" i="41"/>
  <c r="E47" i="41"/>
  <c r="E27" i="41"/>
  <c r="E60" i="39"/>
  <c r="E69" i="39" s="1"/>
  <c r="E49" i="11"/>
  <c r="E26" i="11"/>
  <c r="E38" i="36"/>
  <c r="E39" i="36" s="1"/>
  <c r="E20" i="1"/>
  <c r="E42" i="6"/>
  <c r="E48" i="39"/>
  <c r="E22" i="20"/>
  <c r="E23" i="20" s="1"/>
  <c r="E55" i="34"/>
  <c r="E47" i="34"/>
  <c r="E12" i="36"/>
  <c r="E44" i="36"/>
  <c r="E45" i="36" s="1"/>
  <c r="E42" i="11"/>
  <c r="E21" i="9"/>
  <c r="E22" i="9" s="1"/>
  <c r="E46" i="39"/>
  <c r="E21" i="1"/>
  <c r="E22" i="1" s="1"/>
  <c r="E20" i="6"/>
  <c r="E21" i="6" s="1"/>
  <c r="E22" i="6" s="1"/>
  <c r="E21" i="7"/>
  <c r="E22" i="7" s="1"/>
  <c r="E22" i="35"/>
  <c r="E23" i="35" s="1"/>
  <c r="E22" i="36"/>
  <c r="E23" i="36" s="1"/>
  <c r="E41" i="20"/>
  <c r="E42" i="20" s="1"/>
  <c r="E23" i="40"/>
  <c r="E43" i="35"/>
  <c r="E44" i="35" s="1"/>
  <c r="E43" i="40"/>
  <c r="E45" i="40" s="1"/>
  <c r="E27" i="42" l="1"/>
  <c r="E55" i="42"/>
  <c r="E47" i="42"/>
  <c r="E68" i="41"/>
  <c r="E69" i="41" s="1"/>
  <c r="E70" i="41" s="1"/>
  <c r="E73" i="41" s="1"/>
  <c r="E74" i="41" s="1"/>
  <c r="E75" i="41" s="1"/>
  <c r="E76" i="41" s="1"/>
  <c r="E59" i="41"/>
  <c r="E51" i="6"/>
  <c r="E26" i="6"/>
  <c r="E44" i="6"/>
  <c r="E27" i="40"/>
  <c r="E47" i="40"/>
  <c r="E55" i="40"/>
  <c r="E27" i="36"/>
  <c r="E47" i="36" s="1"/>
  <c r="E55" i="36"/>
  <c r="E49" i="7"/>
  <c r="E26" i="7"/>
  <c r="E42" i="7" s="1"/>
  <c r="E59" i="34"/>
  <c r="E68" i="34"/>
  <c r="E70" i="39"/>
  <c r="E71" i="39"/>
  <c r="E74" i="39" s="1"/>
  <c r="E75" i="39" s="1"/>
  <c r="E76" i="39" s="1"/>
  <c r="E77" i="39" s="1"/>
  <c r="E60" i="35"/>
  <c r="E27" i="35"/>
  <c r="E52" i="35" s="1"/>
  <c r="E49" i="1"/>
  <c r="E26" i="1"/>
  <c r="E42" i="1" s="1"/>
  <c r="E26" i="9"/>
  <c r="E40" i="9" s="1"/>
  <c r="E47" i="9"/>
  <c r="E69" i="34"/>
  <c r="E70" i="34"/>
  <c r="E73" i="34" s="1"/>
  <c r="E74" i="34" s="1"/>
  <c r="E75" i="34" s="1"/>
  <c r="E76" i="34" s="1"/>
  <c r="E27" i="20"/>
  <c r="E50" i="20" s="1"/>
  <c r="E58" i="20"/>
  <c r="E53" i="11"/>
  <c r="E65" i="11" s="1"/>
  <c r="E66" i="11" s="1"/>
  <c r="E67" i="11" s="1"/>
  <c r="E70" i="11" s="1"/>
  <c r="E71" i="11" s="1"/>
  <c r="E72" i="11" s="1"/>
  <c r="E59" i="42" l="1"/>
  <c r="E68" i="42"/>
  <c r="E69" i="42" s="1"/>
  <c r="E70" i="42" s="1"/>
  <c r="E73" i="42" s="1"/>
  <c r="E74" i="42" s="1"/>
  <c r="E75" i="42" s="1"/>
  <c r="E76" i="42" s="1"/>
  <c r="E62" i="20"/>
  <c r="E71" i="20" s="1"/>
  <c r="E72" i="20" s="1"/>
  <c r="E73" i="20" s="1"/>
  <c r="E76" i="20" s="1"/>
  <c r="E77" i="20" s="1"/>
  <c r="E79" i="20" s="1"/>
  <c r="E80" i="20" s="1"/>
  <c r="E73" i="35"/>
  <c r="E74" i="35" s="1"/>
  <c r="E75" i="35" s="1"/>
  <c r="E78" i="35" s="1"/>
  <c r="E79" i="35" s="1"/>
  <c r="E80" i="35" s="1"/>
  <c r="E81" i="35" s="1"/>
  <c r="E64" i="35"/>
  <c r="E53" i="7"/>
  <c r="E65" i="7" s="1"/>
  <c r="E66" i="7" s="1"/>
  <c r="E67" i="7" s="1"/>
  <c r="E70" i="7" s="1"/>
  <c r="E71" i="7" s="1"/>
  <c r="E72" i="7" s="1"/>
  <c r="E68" i="40"/>
  <c r="E59" i="40"/>
  <c r="E51" i="9"/>
  <c r="E63" i="9" s="1"/>
  <c r="E64" i="9" s="1"/>
  <c r="E65" i="9" s="1"/>
  <c r="E68" i="9" s="1"/>
  <c r="E69" i="9" s="1"/>
  <c r="E70" i="9" s="1"/>
  <c r="E53" i="1"/>
  <c r="E65" i="1" s="1"/>
  <c r="E66" i="1" s="1"/>
  <c r="E67" i="1" s="1"/>
  <c r="E70" i="1" s="1"/>
  <c r="E71" i="1" s="1"/>
  <c r="E72" i="1" s="1"/>
  <c r="E59" i="36"/>
  <c r="E68" i="36" s="1"/>
  <c r="E69" i="36" s="1"/>
  <c r="E70" i="36" s="1"/>
  <c r="E73" i="36" s="1"/>
  <c r="E74" i="36" s="1"/>
  <c r="E75" i="36" s="1"/>
  <c r="E76" i="36" s="1"/>
  <c r="E70" i="40"/>
  <c r="E73" i="40" s="1"/>
  <c r="E74" i="40" s="1"/>
  <c r="E75" i="40" s="1"/>
  <c r="E76" i="40" s="1"/>
  <c r="E69" i="40"/>
  <c r="E55" i="6"/>
  <c r="E65" i="6" s="1"/>
  <c r="E66" i="6" s="1"/>
  <c r="E67" i="6" s="1"/>
  <c r="E70" i="6" s="1"/>
  <c r="E71" i="6" s="1"/>
  <c r="E72" i="6" s="1"/>
</calcChain>
</file>

<file path=xl/sharedStrings.xml><?xml version="1.0" encoding="utf-8"?>
<sst xmlns="http://schemas.openxmlformats.org/spreadsheetml/2006/main" count="876" uniqueCount="149">
  <si>
    <t xml:space="preserve"> Расчет себестоимости платной дополнительной услуги  </t>
  </si>
  <si>
    <t>Гимнастика</t>
  </si>
  <si>
    <t>Текущий ремонт</t>
  </si>
  <si>
    <t>Канцтовары (Распечатка договоров, квитанций на оплату платной услуги)</t>
  </si>
  <si>
    <t>Программное обеспечение для ведения платной услуги, ТО оргтехники (Заправка картриджа)</t>
  </si>
  <si>
    <t>Материально техническое оснащение (инвентарь для дополнительных платных услуг, ткань для костюмов)</t>
  </si>
  <si>
    <t>Продолжительность1 занятия  (минут)</t>
  </si>
  <si>
    <t>от 5 декабря 2011г. № 17-264</t>
  </si>
  <si>
    <t xml:space="preserve">Надбавка за категорию </t>
  </si>
  <si>
    <t>Надбавка за выслугу</t>
  </si>
  <si>
    <t>Районный коэффициент</t>
  </si>
  <si>
    <t>Итого заработная плата на ставку</t>
  </si>
  <si>
    <t>Заработная плата по нагрузке педагога предоставляемого платную услугу</t>
  </si>
  <si>
    <t>Начисления на заработную плату по нагрузке педагога предоставляемого платную услугу (30,2%)</t>
  </si>
  <si>
    <t>Средний срок пользование инвентарем (год):</t>
  </si>
  <si>
    <t xml:space="preserve">Музыкальные диски, флешки </t>
  </si>
  <si>
    <t>Заработная плата (ЗП)</t>
  </si>
  <si>
    <t>Начисления (НЗ)</t>
  </si>
  <si>
    <t>Коврики для занятия</t>
  </si>
  <si>
    <t>Музыкальный центр</t>
  </si>
  <si>
    <t>Гимнастическое оборудование</t>
  </si>
  <si>
    <t>Материальные запасы (Мз)</t>
  </si>
  <si>
    <t>Амортизация (А)</t>
  </si>
  <si>
    <t>Сумма амортизации  с учетом продолжительности занятия (А) руб.</t>
  </si>
  <si>
    <t>Балансовая стоимость (Б n) руб.</t>
  </si>
  <si>
    <t>Норма  амортизации (А n) месяц</t>
  </si>
  <si>
    <t>Исполнитель</t>
  </si>
  <si>
    <t>Общее количество потребителей услуги (чел.)</t>
  </si>
  <si>
    <t>Количество групп</t>
  </si>
  <si>
    <t>Период предоставления  платной  услуги (месяц)</t>
  </si>
  <si>
    <t>Продолжительность1 занятия  (час)</t>
  </si>
  <si>
    <t>Среднее количество рабочих часов в месяц по производственному календарю(час)</t>
  </si>
  <si>
    <t>Количество занятий в месяц</t>
  </si>
  <si>
    <t xml:space="preserve">Заработная плата (ЗП) </t>
  </si>
  <si>
    <t>Соотнашение заработной платы прочего персонала к основному персоналу (основание форма статистической отчетности Форма ЗП-образование за 2016 год) %</t>
  </si>
  <si>
    <t>Заработная плата прочего персонала (27,4% от 433,45 руб.)</t>
  </si>
  <si>
    <t>Начисления на заработную плату прочего персонала (30,2%)</t>
  </si>
  <si>
    <t>Хозяйственные расходы (Рх)</t>
  </si>
  <si>
    <t>Сумма  (руб.)</t>
  </si>
  <si>
    <t>Наименование</t>
  </si>
  <si>
    <t>Наименование  имущества</t>
  </si>
  <si>
    <t>ВСЕГО</t>
  </si>
  <si>
    <t>Всего хозяйственные расходы</t>
  </si>
  <si>
    <t>Всего хозяйственные расходы  для расчета себестоимости платной услуги</t>
  </si>
  <si>
    <t>Итого амортизация для расчета себестоимости платной услуги</t>
  </si>
  <si>
    <t>Расходы в месяц (руб.) для расчета себестоимости платной услуги</t>
  </si>
  <si>
    <t>Косвенные  расходы (Ркосв) руб.</t>
  </si>
  <si>
    <t>Коэффициент  косвенных   расходов (Ккр)</t>
  </si>
  <si>
    <t>Косвенные  расходы, включаемые в себестоимость услуги руб.</t>
  </si>
  <si>
    <t>Cтоимость 1 занятия  руб.</t>
  </si>
  <si>
    <t>Cтоимость платной услуги в месяц на 1 ребенка руб.</t>
  </si>
  <si>
    <t>педагог дополнительного образования 1 категории, с высшим образованием и выслугой 11 лет</t>
  </si>
  <si>
    <t xml:space="preserve">Оклад педагога дополнительного образования в соответствии с решением 
Орского городского совета депутатов </t>
  </si>
  <si>
    <t>1. Прямые расходы (Рпр)</t>
  </si>
  <si>
    <t>Итого прямые расходы (Рпр) руб.</t>
  </si>
  <si>
    <t>2.Косвенные  расходы (Ркосв)</t>
  </si>
  <si>
    <t>Нотные тетради 78шт.*20 руб.</t>
  </si>
  <si>
    <t>Музыкальное оборудование</t>
  </si>
  <si>
    <t>Хореография</t>
  </si>
  <si>
    <t>Танцевальные костюмы (средний возраст) 22шт*1000 руб.</t>
  </si>
  <si>
    <t>Танцевальные костюмы (старший возраст) 22шт*1000 руб.</t>
  </si>
  <si>
    <t>Атрибуты для танцев, музыкальные диски, флешки</t>
  </si>
  <si>
    <t>Итого</t>
  </si>
  <si>
    <t>Коврики для занятия хореографии</t>
  </si>
  <si>
    <t xml:space="preserve">Cебестоимость платной услуги руб. </t>
  </si>
  <si>
    <t>Аэробика</t>
  </si>
  <si>
    <t>Коврики для занятия фитнесом</t>
  </si>
  <si>
    <t>Тренажеры</t>
  </si>
  <si>
    <t>Обучение игре на гитаре</t>
  </si>
  <si>
    <t>Настройка и ремонт   музыкальных инструментов</t>
  </si>
  <si>
    <t>Швейное дело</t>
  </si>
  <si>
    <t>Нитки 12 руб*22шт.</t>
  </si>
  <si>
    <t>Ткань 10м*250 руб.</t>
  </si>
  <si>
    <t>Фурнитура</t>
  </si>
  <si>
    <t>Швейные машины</t>
  </si>
  <si>
    <t>Обслуживание и ремонт оборудования (швейных машин)</t>
  </si>
  <si>
    <t>Программное обеспечение для ведения платной услуги, ТО оргтехники (Заправка картриджей)</t>
  </si>
  <si>
    <t>Всего хозяйственные расходы за 9 мес.</t>
  </si>
  <si>
    <t>Панель плазм.</t>
  </si>
  <si>
    <t>Компьютер</t>
  </si>
  <si>
    <t>Расчет себестоимости платной образовательной услуги</t>
  </si>
  <si>
    <t>Всего материальные запасы</t>
  </si>
  <si>
    <t>Заработная плата прочего персонала</t>
  </si>
  <si>
    <t>ФОТ учреждения</t>
  </si>
  <si>
    <t xml:space="preserve">Стоимость платной услуги установленная </t>
  </si>
  <si>
    <t>прочие хозяйственные расходы</t>
  </si>
  <si>
    <t>Себестоимость платной услуги с учетом рентабельность</t>
  </si>
  <si>
    <t>методическое пособие</t>
  </si>
  <si>
    <t>Школа развития "Ступеньки к школе"</t>
  </si>
  <si>
    <t xml:space="preserve">Директор </t>
  </si>
  <si>
    <t>Директор МКУ "Центр бухгалтерского учета и отчетности"</t>
  </si>
  <si>
    <t>С.А.Бадретдинова</t>
  </si>
  <si>
    <t>МКУ "Центр бухгалтерского учета и отчетности"</t>
  </si>
  <si>
    <t>Количество часов на услугу в месяц</t>
  </si>
  <si>
    <t>ФОТ АУП,УВП,МОП</t>
  </si>
  <si>
    <t xml:space="preserve">Экономист </t>
  </si>
  <si>
    <t>Надбавка за выслугу (0,25)</t>
  </si>
  <si>
    <t>Цветные карандаши(10 х 65)*9</t>
  </si>
  <si>
    <t>Цветная бумага(10 х 30)*9</t>
  </si>
  <si>
    <t>Клей(10 х 13)*9</t>
  </si>
  <si>
    <t>МОАУ "Гимназия № 2 г.Орска Оренбургской области"</t>
  </si>
  <si>
    <t>Стимулирующие выплаты (0,15)</t>
  </si>
  <si>
    <t>учитель высшей категории с высшим образованием и выслугой 20 лет</t>
  </si>
  <si>
    <t>Надбавка за категорию  (0,55)</t>
  </si>
  <si>
    <t>Тетради (5 шт *100руб)</t>
  </si>
  <si>
    <t>Обучение чтению</t>
  </si>
  <si>
    <t>Решение занимательных математических заданий</t>
  </si>
  <si>
    <t>Дидактический материал</t>
  </si>
  <si>
    <t xml:space="preserve">Тетради </t>
  </si>
  <si>
    <t>За страницами учебника</t>
  </si>
  <si>
    <t xml:space="preserve">Оклад педагога </t>
  </si>
  <si>
    <t>И.А. Биктимирова</t>
  </si>
  <si>
    <t>Н.В. Кривощекова</t>
  </si>
  <si>
    <t xml:space="preserve">Соотношение  фот административного персонала , учебно-вспомогательного и обслуживающего (прочего) персонала </t>
  </si>
  <si>
    <t>Заправка картриджа</t>
  </si>
  <si>
    <t>мел (3 уп.*100руб.)</t>
  </si>
  <si>
    <t>Методический материал</t>
  </si>
  <si>
    <t xml:space="preserve">Соотношение  фот административного персонала , учебно-вспомогательного и обслуживающего </t>
  </si>
  <si>
    <t>Стимулирующие выплаты (0,25)</t>
  </si>
  <si>
    <t>Оклад педагога</t>
  </si>
  <si>
    <t>мел (14 уп.*100руб.)</t>
  </si>
  <si>
    <t>Подготовка к ГИА (русский язык)</t>
  </si>
  <si>
    <t>Соотношение  фот административного персонала , учебно-вспомогательного и обслуживающего (прочего) персонала</t>
  </si>
  <si>
    <t>заправка катриджа  9 мес</t>
  </si>
  <si>
    <t>мел (5 уп.*100 руб.)</t>
  </si>
  <si>
    <t>Дидактический материал (25 *280 руб.)</t>
  </si>
  <si>
    <t>Ручка (75 Х 10руб)</t>
  </si>
  <si>
    <t>Тетради (75 шт *50руб)</t>
  </si>
  <si>
    <t>Дидактический материал (20 *370 руб.)</t>
  </si>
  <si>
    <t>Ручка (80 Х 10руб)</t>
  </si>
  <si>
    <t>Тетради (80 шт *50руб)</t>
  </si>
  <si>
    <t>мел (6 уп.*100 руб.)</t>
  </si>
  <si>
    <t>Дидактический материал (25 *260 руб.)</t>
  </si>
  <si>
    <t>Подготовка к ГИА (математика)</t>
  </si>
  <si>
    <t>Бумага  (24*260 руб.)</t>
  </si>
  <si>
    <t>Бумага (32 пач Х 260руб.)</t>
  </si>
  <si>
    <t>Бумага (56*260руб.)</t>
  </si>
  <si>
    <t>мел (15 уп.*100руб.)</t>
  </si>
  <si>
    <t>Ручка (280 Х 10руб)</t>
  </si>
  <si>
    <t>Тетради (280 шт *50руб)</t>
  </si>
  <si>
    <t>Бумага (24 пач Х 260руб.)</t>
  </si>
  <si>
    <t>Клей (25 х 35руб.)</t>
  </si>
  <si>
    <t>Цветная бумага (25 х 50руб.)</t>
  </si>
  <si>
    <t>Цветные карандаши (25 х 65руб.)</t>
  </si>
  <si>
    <t>Заправка катриджа  9 мес</t>
  </si>
  <si>
    <t>Мел (5 уп.*100 руб.)</t>
  </si>
  <si>
    <t>Методическое пособие</t>
  </si>
  <si>
    <t>Подготовка к ГИА (обществознание)</t>
  </si>
  <si>
    <t>Подготовка к ГИА (история)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</si>
</sst>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wrapText="1"/>
    </xf>
    <xf numFmtId="4" fontId="2" fillId="0" borderId="0" xfId="0" applyNumberFormat="1" applyFont="1"/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wrapText="1"/>
    </xf>
    <xf numFmtId="0" fontId="2" fillId="0" borderId="1" xfId="0" applyFont="1" applyBorder="1"/>
    <xf numFmtId="0" fontId="2" fillId="0" borderId="0" xfId="0" applyFont="1" applyFill="1" applyBorder="1" applyAlignment="1">
      <alignment horizontal="left" wrapText="1"/>
    </xf>
    <xf numFmtId="4" fontId="1" fillId="0" borderId="0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4" fontId="3" fillId="2" borderId="1" xfId="0" applyNumberFormat="1" applyFont="1" applyFill="1" applyBorder="1"/>
    <xf numFmtId="4" fontId="2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 wrapText="1"/>
    </xf>
    <xf numFmtId="4" fontId="3" fillId="2" borderId="2" xfId="0" applyNumberFormat="1" applyFont="1" applyFill="1" applyBorder="1"/>
    <xf numFmtId="0" fontId="3" fillId="2" borderId="2" xfId="0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2" fontId="2" fillId="0" borderId="0" xfId="0" applyNumberFormat="1" applyFont="1"/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/>
    <xf numFmtId="0" fontId="2" fillId="3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4" fontId="2" fillId="0" borderId="5" xfId="0" applyNumberFormat="1" applyFont="1" applyBorder="1" applyAlignment="1">
      <alignment horizontal="center" wrapText="1"/>
    </xf>
    <xf numFmtId="4" fontId="2" fillId="0" borderId="6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opLeftCell="A49" workbookViewId="0">
      <selection activeCell="E35" sqref="E35"/>
    </sheetView>
  </sheetViews>
  <sheetFormatPr defaultRowHeight="15.75" x14ac:dyDescent="0.25"/>
  <cols>
    <col min="1" max="1" width="18.5703125" style="1" customWidth="1"/>
    <col min="2" max="2" width="28" style="1" customWidth="1"/>
    <col min="3" max="3" width="21.140625" style="1" customWidth="1"/>
    <col min="4" max="4" width="21.7109375" style="1" customWidth="1"/>
    <col min="5" max="5" width="28.85546875" style="4" customWidth="1"/>
    <col min="6" max="6" width="9.140625" style="1"/>
    <col min="7" max="7" width="18.140625" style="1" customWidth="1"/>
    <col min="8" max="8" width="20.140625" style="1" customWidth="1"/>
    <col min="9" max="16384" width="9.140625" style="1"/>
  </cols>
  <sheetData>
    <row r="1" spans="1:7" ht="18.75" x14ac:dyDescent="0.3">
      <c r="A1" s="2" t="s">
        <v>0</v>
      </c>
      <c r="C1" s="2"/>
      <c r="D1" s="2"/>
      <c r="E1" s="21" t="s">
        <v>70</v>
      </c>
      <c r="G1" s="2"/>
    </row>
    <row r="3" spans="1:7" ht="66" customHeight="1" x14ac:dyDescent="0.25">
      <c r="A3" s="56" t="s">
        <v>26</v>
      </c>
      <c r="B3" s="56"/>
      <c r="C3" s="56"/>
      <c r="D3" s="56"/>
      <c r="E3" s="7" t="s">
        <v>51</v>
      </c>
    </row>
    <row r="4" spans="1:7" x14ac:dyDescent="0.25">
      <c r="A4" s="56" t="s">
        <v>27</v>
      </c>
      <c r="B4" s="56"/>
      <c r="C4" s="56"/>
      <c r="D4" s="56"/>
      <c r="E4" s="9">
        <v>20</v>
      </c>
    </row>
    <row r="5" spans="1:7" x14ac:dyDescent="0.25">
      <c r="A5" s="56" t="s">
        <v>28</v>
      </c>
      <c r="B5" s="56"/>
      <c r="C5" s="56"/>
      <c r="D5" s="56"/>
      <c r="E5" s="9">
        <v>2</v>
      </c>
    </row>
    <row r="6" spans="1:7" ht="18.75" customHeight="1" x14ac:dyDescent="0.25">
      <c r="A6" s="57" t="s">
        <v>29</v>
      </c>
      <c r="B6" s="57"/>
      <c r="C6" s="57"/>
      <c r="D6" s="57"/>
      <c r="E6" s="9">
        <v>9</v>
      </c>
    </row>
    <row r="7" spans="1:7" ht="17.25" customHeight="1" x14ac:dyDescent="0.25">
      <c r="A7" s="56" t="s">
        <v>6</v>
      </c>
      <c r="B7" s="56"/>
      <c r="C7" s="56"/>
      <c r="D7" s="56"/>
      <c r="E7" s="9">
        <v>45</v>
      </c>
    </row>
    <row r="8" spans="1:7" ht="17.25" customHeight="1" x14ac:dyDescent="0.25">
      <c r="A8" s="56" t="s">
        <v>30</v>
      </c>
      <c r="B8" s="56"/>
      <c r="C8" s="56"/>
      <c r="D8" s="56"/>
      <c r="E8" s="10">
        <f>ROUND(E7/60,2)</f>
        <v>0.75</v>
      </c>
    </row>
    <row r="9" spans="1:7" ht="34.5" customHeight="1" x14ac:dyDescent="0.25">
      <c r="A9" s="59" t="s">
        <v>31</v>
      </c>
      <c r="B9" s="60"/>
      <c r="C9" s="60"/>
      <c r="D9" s="61"/>
      <c r="E9" s="11">
        <v>160</v>
      </c>
    </row>
    <row r="10" spans="1:7" x14ac:dyDescent="0.25">
      <c r="A10" s="56" t="s">
        <v>32</v>
      </c>
      <c r="B10" s="56"/>
      <c r="C10" s="56"/>
      <c r="D10" s="56"/>
      <c r="E10" s="9">
        <v>8</v>
      </c>
    </row>
    <row r="13" spans="1:7" ht="15.75" customHeight="1" x14ac:dyDescent="0.3">
      <c r="A13" s="73" t="s">
        <v>53</v>
      </c>
      <c r="B13" s="73"/>
      <c r="C13" s="73"/>
      <c r="D13" s="73"/>
      <c r="E13" s="73"/>
    </row>
    <row r="14" spans="1:7" ht="15.75" customHeight="1" x14ac:dyDescent="0.3">
      <c r="A14" s="8"/>
      <c r="B14" s="8"/>
      <c r="C14" s="8"/>
      <c r="D14" s="8"/>
      <c r="E14" s="8"/>
    </row>
    <row r="15" spans="1:7" ht="23.25" customHeight="1" x14ac:dyDescent="0.25">
      <c r="A15" s="71" t="s">
        <v>16</v>
      </c>
      <c r="B15" s="71"/>
      <c r="C15" s="71"/>
      <c r="D15" s="71"/>
      <c r="E15" s="72"/>
    </row>
    <row r="16" spans="1:7" ht="36.75" customHeight="1" x14ac:dyDescent="0.25">
      <c r="A16" s="68" t="s">
        <v>52</v>
      </c>
      <c r="B16" s="69"/>
      <c r="C16" s="69"/>
      <c r="D16" s="70"/>
      <c r="E16" s="65">
        <v>4800</v>
      </c>
    </row>
    <row r="17" spans="1:7" ht="22.5" customHeight="1" x14ac:dyDescent="0.25">
      <c r="A17" s="62" t="s">
        <v>7</v>
      </c>
      <c r="B17" s="63"/>
      <c r="C17" s="63"/>
      <c r="D17" s="64"/>
      <c r="E17" s="66"/>
      <c r="F17" s="6"/>
    </row>
    <row r="18" spans="1:7" x14ac:dyDescent="0.25">
      <c r="A18" s="67" t="s">
        <v>8</v>
      </c>
      <c r="B18" s="67"/>
      <c r="C18" s="67"/>
      <c r="D18" s="67"/>
      <c r="E18" s="13">
        <f>0.13*E16</f>
        <v>624</v>
      </c>
      <c r="G18" s="6"/>
    </row>
    <row r="19" spans="1:7" x14ac:dyDescent="0.25">
      <c r="A19" s="58" t="s">
        <v>9</v>
      </c>
      <c r="B19" s="58"/>
      <c r="C19" s="58"/>
      <c r="D19" s="58"/>
      <c r="E19" s="13">
        <f>E16*0.042</f>
        <v>201.60000000000002</v>
      </c>
    </row>
    <row r="20" spans="1:7" x14ac:dyDescent="0.25">
      <c r="A20" s="58" t="s">
        <v>10</v>
      </c>
      <c r="B20" s="58"/>
      <c r="C20" s="58"/>
      <c r="D20" s="58"/>
      <c r="E20" s="14">
        <f>(E16+E18+E19)*0.15</f>
        <v>843.84</v>
      </c>
    </row>
    <row r="21" spans="1:7" x14ac:dyDescent="0.25">
      <c r="A21" s="74" t="s">
        <v>11</v>
      </c>
      <c r="B21" s="74"/>
      <c r="C21" s="74"/>
      <c r="D21" s="74"/>
      <c r="E21" s="15">
        <f>SUM(E16:E20)</f>
        <v>6469.4400000000005</v>
      </c>
    </row>
    <row r="22" spans="1:7" ht="33" customHeight="1" x14ac:dyDescent="0.25">
      <c r="A22" s="78" t="s">
        <v>12</v>
      </c>
      <c r="B22" s="79"/>
      <c r="C22" s="79"/>
      <c r="D22" s="80"/>
      <c r="E22" s="15">
        <f>E21/E9*E8*E5*E10</f>
        <v>485.20800000000008</v>
      </c>
    </row>
    <row r="23" spans="1:7" x14ac:dyDescent="0.25">
      <c r="A23" s="81"/>
      <c r="B23" s="81"/>
      <c r="C23" s="81"/>
      <c r="D23" s="81"/>
      <c r="E23" s="3"/>
    </row>
    <row r="24" spans="1:7" x14ac:dyDescent="0.25">
      <c r="A24" s="81"/>
      <c r="B24" s="81"/>
      <c r="C24" s="81"/>
      <c r="D24" s="81"/>
      <c r="E24" s="3"/>
    </row>
    <row r="25" spans="1:7" ht="24" customHeight="1" x14ac:dyDescent="0.25">
      <c r="A25" s="72" t="s">
        <v>17</v>
      </c>
      <c r="B25" s="72"/>
      <c r="C25" s="72"/>
      <c r="D25" s="72"/>
      <c r="E25" s="72"/>
    </row>
    <row r="26" spans="1:7" ht="35.25" customHeight="1" x14ac:dyDescent="0.25">
      <c r="A26" s="78" t="s">
        <v>13</v>
      </c>
      <c r="B26" s="79"/>
      <c r="C26" s="79"/>
      <c r="D26" s="80"/>
      <c r="E26" s="15">
        <f>E22*0.302</f>
        <v>146.53281600000003</v>
      </c>
    </row>
    <row r="27" spans="1:7" x14ac:dyDescent="0.25">
      <c r="E27" s="3"/>
    </row>
    <row r="29" spans="1:7" ht="21" customHeight="1" x14ac:dyDescent="0.25">
      <c r="A29" s="72" t="s">
        <v>21</v>
      </c>
      <c r="B29" s="72"/>
      <c r="C29" s="72"/>
      <c r="D29" s="72"/>
      <c r="E29" s="72"/>
    </row>
    <row r="30" spans="1:7" x14ac:dyDescent="0.25">
      <c r="A30" s="75" t="s">
        <v>71</v>
      </c>
      <c r="B30" s="76"/>
      <c r="C30" s="76"/>
      <c r="D30" s="77"/>
      <c r="E30" s="17">
        <f>12*22</f>
        <v>264</v>
      </c>
    </row>
    <row r="31" spans="1:7" ht="31.5" customHeight="1" x14ac:dyDescent="0.25">
      <c r="A31" s="75" t="s">
        <v>72</v>
      </c>
      <c r="B31" s="76"/>
      <c r="C31" s="76"/>
      <c r="D31" s="77"/>
      <c r="E31" s="17">
        <v>2500</v>
      </c>
    </row>
    <row r="32" spans="1:7" x14ac:dyDescent="0.25">
      <c r="A32" s="75" t="s">
        <v>73</v>
      </c>
      <c r="B32" s="76"/>
      <c r="C32" s="76"/>
      <c r="D32" s="77"/>
      <c r="E32" s="17">
        <v>300</v>
      </c>
    </row>
    <row r="33" spans="1:5" x14ac:dyDescent="0.25">
      <c r="A33" s="75" t="s">
        <v>41</v>
      </c>
      <c r="B33" s="76"/>
      <c r="C33" s="76"/>
      <c r="D33" s="77"/>
      <c r="E33" s="17">
        <f>E30+E31+E32</f>
        <v>3064</v>
      </c>
    </row>
    <row r="34" spans="1:5" x14ac:dyDescent="0.25">
      <c r="A34" s="75" t="s">
        <v>45</v>
      </c>
      <c r="B34" s="76"/>
      <c r="C34" s="76"/>
      <c r="D34" s="77"/>
      <c r="E34" s="15">
        <f>E33/E6</f>
        <v>340.44444444444446</v>
      </c>
    </row>
    <row r="35" spans="1:5" x14ac:dyDescent="0.25">
      <c r="A35" s="19"/>
      <c r="B35" s="19"/>
      <c r="C35" s="19"/>
      <c r="D35" s="19"/>
      <c r="E35" s="20"/>
    </row>
    <row r="37" spans="1:5" x14ac:dyDescent="0.25">
      <c r="A37" s="72" t="s">
        <v>22</v>
      </c>
      <c r="B37" s="72"/>
      <c r="C37" s="72"/>
      <c r="D37" s="72"/>
      <c r="E37" s="72"/>
    </row>
    <row r="38" spans="1:5" ht="50.25" customHeight="1" x14ac:dyDescent="0.25">
      <c r="A38" s="84" t="s">
        <v>40</v>
      </c>
      <c r="B38" s="84"/>
      <c r="C38" s="5" t="s">
        <v>24</v>
      </c>
      <c r="D38" s="5" t="s">
        <v>25</v>
      </c>
      <c r="E38" s="17" t="s">
        <v>23</v>
      </c>
    </row>
    <row r="39" spans="1:5" x14ac:dyDescent="0.25">
      <c r="A39" s="75" t="s">
        <v>74</v>
      </c>
      <c r="B39" s="77"/>
      <c r="C39" s="12">
        <v>141120</v>
      </c>
      <c r="D39" s="18">
        <v>60</v>
      </c>
      <c r="E39" s="14">
        <f>C39/D39/E9*E8*E5*E10</f>
        <v>176.39999999999998</v>
      </c>
    </row>
    <row r="40" spans="1:5" ht="15.75" customHeight="1" x14ac:dyDescent="0.25">
      <c r="A40" s="78" t="s">
        <v>44</v>
      </c>
      <c r="B40" s="79"/>
      <c r="C40" s="79"/>
      <c r="D40" s="80"/>
      <c r="E40" s="15">
        <f>E39</f>
        <v>176.39999999999998</v>
      </c>
    </row>
    <row r="42" spans="1:5" ht="18.75" x14ac:dyDescent="0.3">
      <c r="A42" s="82" t="s">
        <v>54</v>
      </c>
      <c r="B42" s="83"/>
      <c r="C42" s="83"/>
      <c r="D42" s="83"/>
      <c r="E42" s="26">
        <f>E22+E26+E34+E40</f>
        <v>1148.5852604444444</v>
      </c>
    </row>
    <row r="45" spans="1:5" ht="18.75" x14ac:dyDescent="0.3">
      <c r="A45" s="73" t="s">
        <v>55</v>
      </c>
      <c r="B45" s="73"/>
      <c r="C45" s="73"/>
      <c r="D45" s="73"/>
      <c r="E45" s="73"/>
    </row>
    <row r="46" spans="1:5" ht="18.75" x14ac:dyDescent="0.3">
      <c r="A46" s="8"/>
      <c r="B46" s="8"/>
      <c r="C46" s="8"/>
      <c r="D46" s="8"/>
      <c r="E46" s="8"/>
    </row>
    <row r="47" spans="1:5" x14ac:dyDescent="0.25">
      <c r="A47" s="71" t="s">
        <v>33</v>
      </c>
      <c r="B47" s="71"/>
      <c r="C47" s="71"/>
      <c r="D47" s="71"/>
      <c r="E47" s="72"/>
    </row>
    <row r="48" spans="1:5" ht="45.75" customHeight="1" x14ac:dyDescent="0.25">
      <c r="A48" s="75" t="s">
        <v>34</v>
      </c>
      <c r="B48" s="76"/>
      <c r="C48" s="76"/>
      <c r="D48" s="77"/>
      <c r="E48" s="13">
        <v>27.4</v>
      </c>
    </row>
    <row r="49" spans="1:5" x14ac:dyDescent="0.25">
      <c r="A49" s="58" t="s">
        <v>35</v>
      </c>
      <c r="B49" s="58"/>
      <c r="C49" s="58"/>
      <c r="D49" s="58"/>
      <c r="E49" s="15">
        <f>E22*E48%</f>
        <v>132.94699199999999</v>
      </c>
    </row>
    <row r="50" spans="1:5" x14ac:dyDescent="0.25">
      <c r="A50" s="81"/>
      <c r="B50" s="81"/>
      <c r="C50" s="81"/>
      <c r="D50" s="81"/>
      <c r="E50" s="3"/>
    </row>
    <row r="51" spans="1:5" x14ac:dyDescent="0.25">
      <c r="A51" s="81"/>
      <c r="B51" s="81"/>
      <c r="C51" s="81"/>
      <c r="D51" s="81"/>
      <c r="E51" s="3"/>
    </row>
    <row r="52" spans="1:5" x14ac:dyDescent="0.25">
      <c r="A52" s="72" t="s">
        <v>17</v>
      </c>
      <c r="B52" s="72"/>
      <c r="C52" s="72"/>
      <c r="D52" s="72"/>
      <c r="E52" s="72"/>
    </row>
    <row r="53" spans="1:5" x14ac:dyDescent="0.25">
      <c r="A53" s="78" t="s">
        <v>36</v>
      </c>
      <c r="B53" s="79"/>
      <c r="C53" s="79"/>
      <c r="D53" s="80"/>
      <c r="E53" s="15">
        <f>E49*0.302</f>
        <v>40.149991583999999</v>
      </c>
    </row>
    <row r="56" spans="1:5" x14ac:dyDescent="0.25">
      <c r="A56" s="72" t="s">
        <v>37</v>
      </c>
      <c r="B56" s="72"/>
      <c r="C56" s="72"/>
      <c r="D56" s="72"/>
      <c r="E56" s="72"/>
    </row>
    <row r="57" spans="1:5" ht="15.75" customHeight="1" x14ac:dyDescent="0.25">
      <c r="A57" s="78" t="s">
        <v>39</v>
      </c>
      <c r="B57" s="79"/>
      <c r="C57" s="79"/>
      <c r="D57" s="80"/>
      <c r="E57" s="16" t="s">
        <v>38</v>
      </c>
    </row>
    <row r="58" spans="1:5" ht="15.75" customHeight="1" x14ac:dyDescent="0.25">
      <c r="A58" s="75" t="s">
        <v>2</v>
      </c>
      <c r="B58" s="76"/>
      <c r="C58" s="76"/>
      <c r="D58" s="77"/>
      <c r="E58" s="17">
        <v>15500</v>
      </c>
    </row>
    <row r="59" spans="1:5" ht="15.75" customHeight="1" x14ac:dyDescent="0.25">
      <c r="A59" s="75" t="s">
        <v>3</v>
      </c>
      <c r="B59" s="76"/>
      <c r="C59" s="76"/>
      <c r="D59" s="77"/>
      <c r="E59" s="17">
        <v>3000</v>
      </c>
    </row>
    <row r="60" spans="1:5" ht="33" customHeight="1" x14ac:dyDescent="0.25">
      <c r="A60" s="75" t="s">
        <v>75</v>
      </c>
      <c r="B60" s="76"/>
      <c r="C60" s="76"/>
      <c r="D60" s="77"/>
      <c r="E60" s="23">
        <v>5000</v>
      </c>
    </row>
    <row r="61" spans="1:5" ht="31.5" customHeight="1" x14ac:dyDescent="0.25">
      <c r="A61" s="75" t="s">
        <v>76</v>
      </c>
      <c r="B61" s="76"/>
      <c r="C61" s="76"/>
      <c r="D61" s="77"/>
      <c r="E61" s="23">
        <v>9000</v>
      </c>
    </row>
    <row r="62" spans="1:5" ht="15.75" customHeight="1" x14ac:dyDescent="0.25">
      <c r="A62" s="75" t="s">
        <v>77</v>
      </c>
      <c r="B62" s="76"/>
      <c r="C62" s="76"/>
      <c r="D62" s="77"/>
      <c r="E62" s="24">
        <f>SUM(E58:E61)</f>
        <v>32500</v>
      </c>
    </row>
    <row r="63" spans="1:5" x14ac:dyDescent="0.25">
      <c r="A63" s="75" t="s">
        <v>43</v>
      </c>
      <c r="B63" s="76"/>
      <c r="C63" s="76"/>
      <c r="D63" s="77"/>
      <c r="E63" s="24">
        <f>E62/9/E9*E8*E5*E10</f>
        <v>270.83333333333337</v>
      </c>
    </row>
    <row r="65" spans="1:5" ht="18.75" x14ac:dyDescent="0.3">
      <c r="A65" s="82" t="s">
        <v>46</v>
      </c>
      <c r="B65" s="83"/>
      <c r="C65" s="83"/>
      <c r="D65" s="88"/>
      <c r="E65" s="22">
        <f>E63+E49+E53</f>
        <v>443.93031691733341</v>
      </c>
    </row>
    <row r="66" spans="1:5" ht="34.5" customHeight="1" x14ac:dyDescent="0.3">
      <c r="A66" s="82" t="s">
        <v>47</v>
      </c>
      <c r="B66" s="83"/>
      <c r="C66" s="83"/>
      <c r="D66" s="88"/>
      <c r="E66" s="22">
        <f>ROUND(E42/E65,2)</f>
        <v>2.59</v>
      </c>
    </row>
    <row r="67" spans="1:5" ht="18.75" x14ac:dyDescent="0.3">
      <c r="A67" s="85" t="s">
        <v>48</v>
      </c>
      <c r="B67" s="86"/>
      <c r="C67" s="86"/>
      <c r="D67" s="87"/>
      <c r="E67" s="27">
        <f>ROUND(E42*E66%,2)</f>
        <v>29.75</v>
      </c>
    </row>
    <row r="69" spans="1:5" ht="18.75" customHeight="1" x14ac:dyDescent="0.25"/>
    <row r="70" spans="1:5" ht="18.75" customHeight="1" x14ac:dyDescent="0.3">
      <c r="A70" s="85" t="s">
        <v>64</v>
      </c>
      <c r="B70" s="86"/>
      <c r="C70" s="89" t="str">
        <f>E1</f>
        <v>Швейное дело</v>
      </c>
      <c r="D70" s="90"/>
      <c r="E70" s="28">
        <f>E42+E67</f>
        <v>1178.3352604444444</v>
      </c>
    </row>
    <row r="71" spans="1:5" ht="28.5" customHeight="1" x14ac:dyDescent="0.3">
      <c r="A71" s="85" t="s">
        <v>49</v>
      </c>
      <c r="B71" s="86"/>
      <c r="C71" s="86"/>
      <c r="D71" s="87"/>
      <c r="E71" s="28">
        <f>E70/(E5*E10)</f>
        <v>73.645953777777777</v>
      </c>
    </row>
    <row r="72" spans="1:5" ht="18.75" x14ac:dyDescent="0.3">
      <c r="A72" s="85" t="s">
        <v>50</v>
      </c>
      <c r="B72" s="86"/>
      <c r="C72" s="86"/>
      <c r="D72" s="87"/>
      <c r="E72" s="28">
        <f>E71*E10</f>
        <v>589.16763022222221</v>
      </c>
    </row>
  </sheetData>
  <mergeCells count="56">
    <mergeCell ref="A65:D65"/>
    <mergeCell ref="A63:D63"/>
    <mergeCell ref="A52:E52"/>
    <mergeCell ref="A53:D53"/>
    <mergeCell ref="A56:E56"/>
    <mergeCell ref="A61:D61"/>
    <mergeCell ref="A57:D57"/>
    <mergeCell ref="A58:D58"/>
    <mergeCell ref="A72:D72"/>
    <mergeCell ref="A66:D66"/>
    <mergeCell ref="A67:D67"/>
    <mergeCell ref="A71:D71"/>
    <mergeCell ref="A70:B70"/>
    <mergeCell ref="C70:D70"/>
    <mergeCell ref="A40:D40"/>
    <mergeCell ref="A47:E47"/>
    <mergeCell ref="A48:D48"/>
    <mergeCell ref="A49:D49"/>
    <mergeCell ref="A29:E29"/>
    <mergeCell ref="A37:E37"/>
    <mergeCell ref="A38:B38"/>
    <mergeCell ref="A39:B39"/>
    <mergeCell ref="A34:D34"/>
    <mergeCell ref="A33:D33"/>
    <mergeCell ref="A32:D32"/>
    <mergeCell ref="A60:D60"/>
    <mergeCell ref="A59:D59"/>
    <mergeCell ref="A62:D62"/>
    <mergeCell ref="A45:E45"/>
    <mergeCell ref="A42:D42"/>
    <mergeCell ref="A50:D50"/>
    <mergeCell ref="A51:D51"/>
    <mergeCell ref="A21:D21"/>
    <mergeCell ref="A31:D31"/>
    <mergeCell ref="A30:D30"/>
    <mergeCell ref="A26:D26"/>
    <mergeCell ref="A25:E25"/>
    <mergeCell ref="A24:D24"/>
    <mergeCell ref="A22:D22"/>
    <mergeCell ref="A23:D23"/>
    <mergeCell ref="A20:D20"/>
    <mergeCell ref="A9:D9"/>
    <mergeCell ref="A17:D17"/>
    <mergeCell ref="E16:E17"/>
    <mergeCell ref="A18:D18"/>
    <mergeCell ref="A19:D19"/>
    <mergeCell ref="A10:D10"/>
    <mergeCell ref="A16:D16"/>
    <mergeCell ref="A15:E15"/>
    <mergeCell ref="A13:E13"/>
    <mergeCell ref="A8:D8"/>
    <mergeCell ref="A3:D3"/>
    <mergeCell ref="A4:D4"/>
    <mergeCell ref="A5:D5"/>
    <mergeCell ref="A7:D7"/>
    <mergeCell ref="A6:D6"/>
  </mergeCells>
  <phoneticPr fontId="0" type="noConversion"/>
  <pageMargins left="0.22" right="0.26" top="1" bottom="1" header="0.5" footer="0.5"/>
  <pageSetup paperSize="9"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G86"/>
  <sheetViews>
    <sheetView topLeftCell="A10" workbookViewId="0">
      <selection activeCell="A14" sqref="A1:E1048576"/>
    </sheetView>
  </sheetViews>
  <sheetFormatPr defaultRowHeight="15.75" x14ac:dyDescent="0.25"/>
  <cols>
    <col min="1" max="1" width="18.5703125" style="1" customWidth="1"/>
    <col min="2" max="2" width="28" style="1" customWidth="1"/>
    <col min="3" max="3" width="21.140625" style="1" customWidth="1"/>
    <col min="4" max="4" width="21.7109375" style="1" customWidth="1"/>
    <col min="5" max="5" width="28.7109375" style="4" customWidth="1"/>
    <col min="6" max="6" width="18.28515625" style="1" customWidth="1"/>
    <col min="7" max="7" width="18.140625" style="1" customWidth="1"/>
    <col min="8" max="8" width="20.140625" style="1" customWidth="1"/>
    <col min="9" max="16384" width="9.140625" style="1"/>
  </cols>
  <sheetData>
    <row r="1" spans="1:7" ht="28.5" customHeight="1" x14ac:dyDescent="0.4">
      <c r="A1" s="96" t="s">
        <v>100</v>
      </c>
      <c r="B1" s="96"/>
      <c r="C1" s="96"/>
      <c r="D1" s="96"/>
      <c r="E1" s="96"/>
      <c r="F1" s="38"/>
    </row>
    <row r="2" spans="1:7" ht="33.75" customHeight="1" x14ac:dyDescent="0.25">
      <c r="A2" s="92" t="s">
        <v>80</v>
      </c>
      <c r="B2" s="92"/>
      <c r="C2" s="92"/>
      <c r="D2" s="97"/>
      <c r="E2" s="37" t="s">
        <v>121</v>
      </c>
      <c r="G2" s="43"/>
    </row>
    <row r="3" spans="1:7" x14ac:dyDescent="0.25">
      <c r="E3" s="3"/>
    </row>
    <row r="4" spans="1:7" ht="47.25" customHeight="1" x14ac:dyDescent="0.25">
      <c r="A4" s="56" t="s">
        <v>26</v>
      </c>
      <c r="B4" s="56"/>
      <c r="C4" s="56"/>
      <c r="D4" s="56"/>
      <c r="E4" s="34" t="s">
        <v>102</v>
      </c>
      <c r="F4" s="36"/>
    </row>
    <row r="5" spans="1:7" x14ac:dyDescent="0.25">
      <c r="A5" s="56" t="s">
        <v>27</v>
      </c>
      <c r="B5" s="56"/>
      <c r="C5" s="56"/>
      <c r="D5" s="56"/>
      <c r="E5" s="9">
        <v>80</v>
      </c>
    </row>
    <row r="6" spans="1:7" x14ac:dyDescent="0.25">
      <c r="A6" s="56" t="s">
        <v>28</v>
      </c>
      <c r="B6" s="56"/>
      <c r="C6" s="56"/>
      <c r="D6" s="56"/>
      <c r="E6" s="9">
        <v>4</v>
      </c>
    </row>
    <row r="7" spans="1:7" x14ac:dyDescent="0.25">
      <c r="A7" s="57" t="s">
        <v>29</v>
      </c>
      <c r="B7" s="57"/>
      <c r="C7" s="57"/>
      <c r="D7" s="57"/>
      <c r="E7" s="9">
        <v>8</v>
      </c>
    </row>
    <row r="8" spans="1:7" ht="17.25" customHeight="1" x14ac:dyDescent="0.25">
      <c r="A8" s="56" t="s">
        <v>6</v>
      </c>
      <c r="B8" s="56"/>
      <c r="C8" s="56"/>
      <c r="D8" s="56"/>
      <c r="E8" s="9">
        <v>45</v>
      </c>
    </row>
    <row r="9" spans="1:7" ht="17.25" customHeight="1" x14ac:dyDescent="0.25">
      <c r="A9" s="56" t="s">
        <v>30</v>
      </c>
      <c r="B9" s="56"/>
      <c r="C9" s="56"/>
      <c r="D9" s="56"/>
      <c r="E9" s="10">
        <f>ROUND(E8/60,2)</f>
        <v>0.75</v>
      </c>
    </row>
    <row r="10" spans="1:7" x14ac:dyDescent="0.25">
      <c r="A10" s="59" t="s">
        <v>31</v>
      </c>
      <c r="B10" s="60"/>
      <c r="C10" s="60"/>
      <c r="D10" s="61"/>
      <c r="E10" s="11">
        <v>72</v>
      </c>
    </row>
    <row r="11" spans="1:7" x14ac:dyDescent="0.25">
      <c r="A11" s="56" t="s">
        <v>32</v>
      </c>
      <c r="B11" s="56"/>
      <c r="C11" s="56"/>
      <c r="D11" s="56"/>
      <c r="E11" s="9">
        <v>4</v>
      </c>
    </row>
    <row r="12" spans="1:7" x14ac:dyDescent="0.25">
      <c r="A12" s="93" t="s">
        <v>93</v>
      </c>
      <c r="B12" s="94"/>
      <c r="C12" s="94"/>
      <c r="D12" s="95"/>
      <c r="E12" s="9">
        <f>E11*E9*E6</f>
        <v>12</v>
      </c>
    </row>
    <row r="13" spans="1:7" ht="15.75" customHeight="1" x14ac:dyDescent="0.25">
      <c r="A13" s="92" t="s">
        <v>53</v>
      </c>
      <c r="B13" s="92"/>
      <c r="C13" s="92"/>
      <c r="D13" s="92"/>
      <c r="E13" s="92"/>
    </row>
    <row r="14" spans="1:7" ht="15.75" customHeight="1" x14ac:dyDescent="0.25">
      <c r="A14" s="44"/>
      <c r="B14" s="44"/>
      <c r="C14" s="44"/>
      <c r="D14" s="44"/>
      <c r="E14" s="44"/>
    </row>
    <row r="15" spans="1:7" ht="23.25" customHeight="1" x14ac:dyDescent="0.25">
      <c r="A15" s="71" t="s">
        <v>16</v>
      </c>
      <c r="B15" s="71"/>
      <c r="C15" s="71"/>
      <c r="D15" s="71"/>
      <c r="E15" s="72"/>
    </row>
    <row r="16" spans="1:7" ht="15" customHeight="1" x14ac:dyDescent="0.25">
      <c r="A16" s="91" t="s">
        <v>119</v>
      </c>
      <c r="B16" s="58"/>
      <c r="C16" s="58"/>
      <c r="D16" s="58"/>
      <c r="E16" s="65">
        <v>8000</v>
      </c>
    </row>
    <row r="17" spans="1:7" ht="15" hidden="1" customHeight="1" x14ac:dyDescent="0.25">
      <c r="A17" s="62"/>
      <c r="B17" s="63"/>
      <c r="C17" s="63"/>
      <c r="D17" s="64"/>
      <c r="E17" s="66"/>
      <c r="F17" s="6"/>
    </row>
    <row r="18" spans="1:7" x14ac:dyDescent="0.25">
      <c r="A18" s="67" t="s">
        <v>103</v>
      </c>
      <c r="B18" s="67"/>
      <c r="C18" s="67"/>
      <c r="D18" s="67"/>
      <c r="E18" s="13">
        <f>0.55*E16</f>
        <v>4400</v>
      </c>
      <c r="G18" s="6"/>
    </row>
    <row r="19" spans="1:7" x14ac:dyDescent="0.25">
      <c r="A19" s="58" t="s">
        <v>96</v>
      </c>
      <c r="B19" s="58"/>
      <c r="C19" s="58"/>
      <c r="D19" s="58"/>
      <c r="E19" s="13">
        <f>E16*0.25</f>
        <v>2000</v>
      </c>
    </row>
    <row r="20" spans="1:7" hidden="1" x14ac:dyDescent="0.25">
      <c r="A20" s="58" t="s">
        <v>101</v>
      </c>
      <c r="B20" s="58"/>
      <c r="C20" s="58"/>
      <c r="D20" s="58"/>
      <c r="E20" s="13"/>
    </row>
    <row r="21" spans="1:7" x14ac:dyDescent="0.25">
      <c r="A21" s="58" t="s">
        <v>10</v>
      </c>
      <c r="B21" s="58"/>
      <c r="C21" s="58"/>
      <c r="D21" s="58"/>
      <c r="E21" s="14">
        <f>ROUND((E16+E18+E19+E20)*0.15,2)</f>
        <v>2160</v>
      </c>
    </row>
    <row r="22" spans="1:7" x14ac:dyDescent="0.25">
      <c r="A22" s="74" t="s">
        <v>11</v>
      </c>
      <c r="B22" s="74"/>
      <c r="C22" s="74"/>
      <c r="D22" s="74"/>
      <c r="E22" s="15">
        <f>SUM(E16:E21)</f>
        <v>16560</v>
      </c>
    </row>
    <row r="23" spans="1:7" x14ac:dyDescent="0.25">
      <c r="A23" s="78" t="s">
        <v>12</v>
      </c>
      <c r="B23" s="79"/>
      <c r="C23" s="79"/>
      <c r="D23" s="80"/>
      <c r="E23" s="15">
        <f>ROUND(E22/E10*E12,2)</f>
        <v>2760</v>
      </c>
    </row>
    <row r="24" spans="1:7" x14ac:dyDescent="0.25">
      <c r="A24" s="81"/>
      <c r="B24" s="81"/>
      <c r="C24" s="81"/>
      <c r="D24" s="81"/>
      <c r="E24" s="3"/>
    </row>
    <row r="25" spans="1:7" x14ac:dyDescent="0.25">
      <c r="A25" s="81"/>
      <c r="B25" s="81"/>
      <c r="C25" s="81"/>
      <c r="D25" s="81"/>
      <c r="E25" s="3"/>
    </row>
    <row r="26" spans="1:7" ht="24" customHeight="1" x14ac:dyDescent="0.25">
      <c r="A26" s="72" t="s">
        <v>17</v>
      </c>
      <c r="B26" s="72"/>
      <c r="C26" s="72"/>
      <c r="D26" s="72"/>
      <c r="E26" s="72"/>
    </row>
    <row r="27" spans="1:7" ht="35.25" customHeight="1" x14ac:dyDescent="0.25">
      <c r="A27" s="78" t="s">
        <v>13</v>
      </c>
      <c r="B27" s="79"/>
      <c r="C27" s="79"/>
      <c r="D27" s="80"/>
      <c r="E27" s="15">
        <f>ROUND(E23*0.302,2)</f>
        <v>833.52</v>
      </c>
    </row>
    <row r="28" spans="1:7" x14ac:dyDescent="0.25">
      <c r="E28" s="3"/>
    </row>
    <row r="30" spans="1:7" ht="21" customHeight="1" x14ac:dyDescent="0.25">
      <c r="A30" s="72" t="s">
        <v>21</v>
      </c>
      <c r="B30" s="72"/>
      <c r="C30" s="72"/>
      <c r="D30" s="72"/>
      <c r="E30" s="72"/>
    </row>
    <row r="31" spans="1:7" ht="15.75" customHeight="1" x14ac:dyDescent="0.25">
      <c r="A31" s="75" t="s">
        <v>135</v>
      </c>
      <c r="B31" s="76"/>
      <c r="C31" s="76"/>
      <c r="D31" s="77"/>
      <c r="E31" s="17">
        <f>32*260</f>
        <v>8320</v>
      </c>
    </row>
    <row r="32" spans="1:7" ht="15.75" customHeight="1" x14ac:dyDescent="0.25">
      <c r="A32" s="75" t="s">
        <v>123</v>
      </c>
      <c r="B32" s="76"/>
      <c r="C32" s="30"/>
      <c r="D32" s="31"/>
      <c r="E32" s="17">
        <v>5000</v>
      </c>
    </row>
    <row r="33" spans="1:5" ht="15.75" customHeight="1" x14ac:dyDescent="0.25">
      <c r="A33" s="75" t="s">
        <v>129</v>
      </c>
      <c r="B33" s="76"/>
      <c r="C33" s="76"/>
      <c r="D33" s="77"/>
      <c r="E33" s="17">
        <f>80*10</f>
        <v>800</v>
      </c>
    </row>
    <row r="34" spans="1:5" ht="15.75" customHeight="1" x14ac:dyDescent="0.25">
      <c r="A34" s="75" t="s">
        <v>130</v>
      </c>
      <c r="B34" s="76"/>
      <c r="C34" s="30"/>
      <c r="D34" s="31"/>
      <c r="E34" s="17">
        <f>80*50</f>
        <v>4000</v>
      </c>
    </row>
    <row r="35" spans="1:5" ht="15.75" customHeight="1" x14ac:dyDescent="0.25">
      <c r="A35" s="75" t="s">
        <v>128</v>
      </c>
      <c r="B35" s="76"/>
      <c r="C35" s="76"/>
      <c r="D35" s="77"/>
      <c r="E35" s="17">
        <f>20*370</f>
        <v>7400</v>
      </c>
    </row>
    <row r="36" spans="1:5" ht="15.75" customHeight="1" x14ac:dyDescent="0.25">
      <c r="A36" s="75" t="s">
        <v>131</v>
      </c>
      <c r="B36" s="76"/>
      <c r="C36" s="76"/>
      <c r="D36" s="77"/>
      <c r="E36" s="17">
        <f>6*100</f>
        <v>600</v>
      </c>
    </row>
    <row r="37" spans="1:5" ht="15.75" customHeight="1" x14ac:dyDescent="0.25">
      <c r="A37" s="75" t="s">
        <v>87</v>
      </c>
      <c r="B37" s="76"/>
      <c r="C37" s="30"/>
      <c r="D37" s="31"/>
      <c r="E37" s="17">
        <v>43000</v>
      </c>
    </row>
    <row r="38" spans="1:5" ht="15.75" customHeight="1" x14ac:dyDescent="0.25">
      <c r="A38" s="75" t="s">
        <v>81</v>
      </c>
      <c r="B38" s="76"/>
      <c r="C38" s="76"/>
      <c r="D38" s="77"/>
      <c r="E38" s="15">
        <f>SUM(E31:E37)</f>
        <v>69120</v>
      </c>
    </row>
    <row r="39" spans="1:5" x14ac:dyDescent="0.25">
      <c r="A39" s="75" t="s">
        <v>45</v>
      </c>
      <c r="B39" s="76"/>
      <c r="C39" s="76"/>
      <c r="D39" s="77"/>
      <c r="E39" s="15">
        <f>ROUND(E38/E7,2)</f>
        <v>8640</v>
      </c>
    </row>
    <row r="41" spans="1:5" hidden="1" x14ac:dyDescent="0.25">
      <c r="A41" s="72" t="s">
        <v>22</v>
      </c>
      <c r="B41" s="72"/>
      <c r="C41" s="72"/>
      <c r="D41" s="72"/>
      <c r="E41" s="72"/>
    </row>
    <row r="42" spans="1:5" ht="47.25" hidden="1" x14ac:dyDescent="0.25">
      <c r="A42" s="84" t="s">
        <v>40</v>
      </c>
      <c r="B42" s="84"/>
      <c r="C42" s="5" t="s">
        <v>24</v>
      </c>
      <c r="D42" s="5" t="s">
        <v>25</v>
      </c>
      <c r="E42" s="17" t="s">
        <v>23</v>
      </c>
    </row>
    <row r="43" spans="1:5" hidden="1" x14ac:dyDescent="0.25">
      <c r="A43" s="75" t="s">
        <v>78</v>
      </c>
      <c r="B43" s="77"/>
      <c r="C43" s="12"/>
      <c r="D43" s="18">
        <v>84</v>
      </c>
      <c r="E43" s="14">
        <f>C43/D43/E10*E9*E6*E11</f>
        <v>0</v>
      </c>
    </row>
    <row r="44" spans="1:5" hidden="1" x14ac:dyDescent="0.25">
      <c r="A44" s="75" t="s">
        <v>79</v>
      </c>
      <c r="B44" s="77"/>
      <c r="C44" s="12"/>
      <c r="D44" s="18">
        <v>84</v>
      </c>
      <c r="E44" s="14">
        <f>C44/D44/E10*E9*E6*E11</f>
        <v>0</v>
      </c>
    </row>
    <row r="45" spans="1:5" hidden="1" x14ac:dyDescent="0.25">
      <c r="A45" s="78" t="s">
        <v>44</v>
      </c>
      <c r="B45" s="79"/>
      <c r="C45" s="79"/>
      <c r="D45" s="80"/>
      <c r="E45" s="15">
        <f>E43+E44</f>
        <v>0</v>
      </c>
    </row>
    <row r="46" spans="1:5" hidden="1" x14ac:dyDescent="0.25"/>
    <row r="47" spans="1:5" x14ac:dyDescent="0.25">
      <c r="A47" s="98" t="s">
        <v>54</v>
      </c>
      <c r="B47" s="99"/>
      <c r="C47" s="99"/>
      <c r="D47" s="99"/>
      <c r="E47" s="24">
        <f>E23+E27+E39</f>
        <v>12233.52</v>
      </c>
    </row>
    <row r="49" spans="1:5" x14ac:dyDescent="0.25">
      <c r="A49" s="92" t="s">
        <v>55</v>
      </c>
      <c r="B49" s="92"/>
      <c r="C49" s="92"/>
      <c r="D49" s="92"/>
      <c r="E49" s="92"/>
    </row>
    <row r="50" spans="1:5" x14ac:dyDescent="0.25">
      <c r="A50" s="44"/>
      <c r="B50" s="44"/>
      <c r="C50" s="44"/>
      <c r="D50" s="44"/>
      <c r="E50" s="44"/>
    </row>
    <row r="51" spans="1:5" x14ac:dyDescent="0.25">
      <c r="A51" s="71" t="s">
        <v>33</v>
      </c>
      <c r="B51" s="71"/>
      <c r="C51" s="71"/>
      <c r="D51" s="71"/>
      <c r="E51" s="72"/>
    </row>
    <row r="52" spans="1:5" ht="32.25" customHeight="1" x14ac:dyDescent="0.25">
      <c r="A52" s="75" t="s">
        <v>122</v>
      </c>
      <c r="B52" s="76"/>
      <c r="C52" s="76"/>
      <c r="D52" s="77"/>
      <c r="E52" s="13">
        <f>ROUND(E53/E54,2)</f>
        <v>0.24</v>
      </c>
    </row>
    <row r="53" spans="1:5" x14ac:dyDescent="0.25">
      <c r="A53" s="75" t="s">
        <v>94</v>
      </c>
      <c r="B53" s="76"/>
      <c r="C53" s="30"/>
      <c r="D53" s="31"/>
      <c r="E53" s="13">
        <v>5163500</v>
      </c>
    </row>
    <row r="54" spans="1:5" x14ac:dyDescent="0.25">
      <c r="A54" s="32" t="s">
        <v>83</v>
      </c>
      <c r="B54" s="30"/>
      <c r="C54" s="30"/>
      <c r="D54" s="31"/>
      <c r="E54" s="13">
        <v>21814200</v>
      </c>
    </row>
    <row r="55" spans="1:5" x14ac:dyDescent="0.25">
      <c r="A55" s="58" t="s">
        <v>82</v>
      </c>
      <c r="B55" s="58"/>
      <c r="C55" s="58"/>
      <c r="D55" s="58"/>
      <c r="E55" s="15">
        <f>ROUND(E23*E52,2)</f>
        <v>662.4</v>
      </c>
    </row>
    <row r="56" spans="1:5" x14ac:dyDescent="0.25">
      <c r="A56" s="81"/>
      <c r="B56" s="81"/>
      <c r="C56" s="81"/>
      <c r="D56" s="81"/>
      <c r="E56" s="3"/>
    </row>
    <row r="57" spans="1:5" x14ac:dyDescent="0.25">
      <c r="A57" s="81"/>
      <c r="B57" s="81"/>
      <c r="C57" s="81"/>
      <c r="D57" s="81"/>
      <c r="E57" s="3"/>
    </row>
    <row r="58" spans="1:5" x14ac:dyDescent="0.25">
      <c r="A58" s="72" t="s">
        <v>17</v>
      </c>
      <c r="B58" s="72"/>
      <c r="C58" s="72"/>
      <c r="D58" s="72"/>
      <c r="E58" s="72"/>
    </row>
    <row r="59" spans="1:5" x14ac:dyDescent="0.25">
      <c r="A59" s="78" t="s">
        <v>36</v>
      </c>
      <c r="B59" s="79"/>
      <c r="C59" s="79"/>
      <c r="D59" s="80"/>
      <c r="E59" s="15">
        <f>ROUND(E55*0.302,2)</f>
        <v>200.04</v>
      </c>
    </row>
    <row r="62" spans="1:5" x14ac:dyDescent="0.25">
      <c r="A62" s="72" t="s">
        <v>37</v>
      </c>
      <c r="B62" s="72"/>
      <c r="C62" s="72"/>
      <c r="D62" s="72"/>
      <c r="E62" s="72"/>
    </row>
    <row r="63" spans="1:5" ht="15.75" customHeight="1" x14ac:dyDescent="0.25">
      <c r="A63" s="78" t="s">
        <v>39</v>
      </c>
      <c r="B63" s="79"/>
      <c r="C63" s="79"/>
      <c r="D63" s="80"/>
      <c r="E63" s="16" t="s">
        <v>38</v>
      </c>
    </row>
    <row r="64" spans="1:5" ht="15.75" customHeight="1" x14ac:dyDescent="0.25">
      <c r="A64" s="75" t="s">
        <v>85</v>
      </c>
      <c r="B64" s="79"/>
      <c r="C64" s="79"/>
      <c r="D64" s="80"/>
      <c r="E64" s="16">
        <v>8000</v>
      </c>
    </row>
    <row r="65" spans="1:7" ht="15.75" customHeight="1" x14ac:dyDescent="0.25">
      <c r="A65" s="75" t="s">
        <v>42</v>
      </c>
      <c r="B65" s="76"/>
      <c r="C65" s="76"/>
      <c r="D65" s="77"/>
      <c r="E65" s="24">
        <f>SUM(E64:E64)</f>
        <v>8000</v>
      </c>
    </row>
    <row r="66" spans="1:7" x14ac:dyDescent="0.25">
      <c r="A66" s="75" t="s">
        <v>43</v>
      </c>
      <c r="B66" s="76"/>
      <c r="C66" s="76"/>
      <c r="D66" s="77"/>
      <c r="E66" s="24">
        <f>ROUND(E65/12,2)</f>
        <v>666.67</v>
      </c>
    </row>
    <row r="68" spans="1:7" x14ac:dyDescent="0.25">
      <c r="A68" s="98" t="s">
        <v>46</v>
      </c>
      <c r="B68" s="99"/>
      <c r="C68" s="99"/>
      <c r="D68" s="100"/>
      <c r="E68" s="24">
        <f>E55+E59+E66</f>
        <v>1529.11</v>
      </c>
    </row>
    <row r="69" spans="1:7" ht="18.75" customHeight="1" x14ac:dyDescent="0.25">
      <c r="A69" s="98" t="s">
        <v>47</v>
      </c>
      <c r="B69" s="99"/>
      <c r="C69" s="99"/>
      <c r="D69" s="100"/>
      <c r="E69" s="24">
        <f>ROUND(E47/E68,2)</f>
        <v>8</v>
      </c>
    </row>
    <row r="70" spans="1:7" x14ac:dyDescent="0.25">
      <c r="A70" s="78" t="s">
        <v>48</v>
      </c>
      <c r="B70" s="79"/>
      <c r="C70" s="79"/>
      <c r="D70" s="80"/>
      <c r="E70" s="46">
        <f>ROUND(E47*E69/6,2)</f>
        <v>16311.36</v>
      </c>
    </row>
    <row r="72" spans="1:7" ht="18.75" customHeight="1" x14ac:dyDescent="0.25"/>
    <row r="73" spans="1:7" ht="31.5" customHeight="1" x14ac:dyDescent="0.25">
      <c r="A73" s="78" t="s">
        <v>64</v>
      </c>
      <c r="B73" s="79"/>
      <c r="C73" s="101" t="s">
        <v>121</v>
      </c>
      <c r="D73" s="102"/>
      <c r="E73" s="45">
        <f>E47+E70</f>
        <v>28544.880000000001</v>
      </c>
    </row>
    <row r="74" spans="1:7" x14ac:dyDescent="0.25">
      <c r="A74" s="78" t="s">
        <v>86</v>
      </c>
      <c r="B74" s="79"/>
      <c r="C74" s="79"/>
      <c r="D74" s="80"/>
      <c r="E74" s="45">
        <f>ROUND(E73*1.15,2)</f>
        <v>32826.61</v>
      </c>
    </row>
    <row r="75" spans="1:7" x14ac:dyDescent="0.25">
      <c r="A75" s="78" t="s">
        <v>49</v>
      </c>
      <c r="B75" s="79"/>
      <c r="C75" s="79"/>
      <c r="D75" s="80"/>
      <c r="E75" s="45">
        <f>ROUND(E74/E5/E11,2)</f>
        <v>102.58</v>
      </c>
    </row>
    <row r="76" spans="1:7" x14ac:dyDescent="0.25">
      <c r="A76" s="78" t="s">
        <v>50</v>
      </c>
      <c r="B76" s="79"/>
      <c r="C76" s="79"/>
      <c r="D76" s="80"/>
      <c r="E76" s="24">
        <f>ROUND(E75*E11,2)</f>
        <v>410.32</v>
      </c>
      <c r="F76" s="47"/>
      <c r="G76" s="29"/>
    </row>
    <row r="78" spans="1:7" ht="21" customHeight="1" x14ac:dyDescent="0.25">
      <c r="A78" s="78" t="s">
        <v>84</v>
      </c>
      <c r="B78" s="79"/>
      <c r="C78" s="79"/>
      <c r="D78" s="80"/>
      <c r="E78" s="48">
        <v>410</v>
      </c>
    </row>
    <row r="79" spans="1:7" ht="23.45" customHeight="1" x14ac:dyDescent="0.25"/>
    <row r="80" spans="1:7" x14ac:dyDescent="0.25">
      <c r="A80" s="1" t="s">
        <v>89</v>
      </c>
      <c r="E80" s="35" t="s">
        <v>112</v>
      </c>
    </row>
    <row r="81" spans="1:5" x14ac:dyDescent="0.25">
      <c r="E81" s="35"/>
    </row>
    <row r="82" spans="1:5" x14ac:dyDescent="0.25">
      <c r="A82" s="1" t="s">
        <v>90</v>
      </c>
      <c r="E82" s="35" t="s">
        <v>91</v>
      </c>
    </row>
    <row r="83" spans="1:5" x14ac:dyDescent="0.25">
      <c r="E83" s="35"/>
    </row>
    <row r="84" spans="1:5" x14ac:dyDescent="0.25">
      <c r="E84" s="35"/>
    </row>
    <row r="85" spans="1:5" x14ac:dyDescent="0.25">
      <c r="A85" s="1" t="s">
        <v>95</v>
      </c>
      <c r="E85" s="35"/>
    </row>
    <row r="86" spans="1:5" x14ac:dyDescent="0.25">
      <c r="A86" s="1" t="s">
        <v>92</v>
      </c>
      <c r="E86" s="35" t="s">
        <v>111</v>
      </c>
    </row>
  </sheetData>
  <mergeCells count="65">
    <mergeCell ref="A16:D16"/>
    <mergeCell ref="E16:E17"/>
    <mergeCell ref="A17:D17"/>
    <mergeCell ref="A10:D10"/>
    <mergeCell ref="A11:D11"/>
    <mergeCell ref="A13:E13"/>
    <mergeCell ref="A15:E15"/>
    <mergeCell ref="A12:D12"/>
    <mergeCell ref="A1:E1"/>
    <mergeCell ref="A7:D7"/>
    <mergeCell ref="A8:D8"/>
    <mergeCell ref="A9:D9"/>
    <mergeCell ref="A4:D4"/>
    <mergeCell ref="A5:D5"/>
    <mergeCell ref="A6:D6"/>
    <mergeCell ref="A2:D2"/>
    <mergeCell ref="A18:D18"/>
    <mergeCell ref="A19:D19"/>
    <mergeCell ref="A21:D21"/>
    <mergeCell ref="A30:E30"/>
    <mergeCell ref="A25:D25"/>
    <mergeCell ref="A27:D27"/>
    <mergeCell ref="A23:D23"/>
    <mergeCell ref="A26:E26"/>
    <mergeCell ref="A24:D24"/>
    <mergeCell ref="A22:D22"/>
    <mergeCell ref="A42:B42"/>
    <mergeCell ref="A43:B43"/>
    <mergeCell ref="A44:B44"/>
    <mergeCell ref="A45:D45"/>
    <mergeCell ref="A20:D20"/>
    <mergeCell ref="A38:D38"/>
    <mergeCell ref="A39:D39"/>
    <mergeCell ref="A78:D78"/>
    <mergeCell ref="A75:D75"/>
    <mergeCell ref="A56:D56"/>
    <mergeCell ref="A58:E58"/>
    <mergeCell ref="A59:D59"/>
    <mergeCell ref="A62:E62"/>
    <mergeCell ref="A57:D57"/>
    <mergeCell ref="A64:D64"/>
    <mergeCell ref="A63:D63"/>
    <mergeCell ref="C73:D73"/>
    <mergeCell ref="A74:D74"/>
    <mergeCell ref="A68:D68"/>
    <mergeCell ref="A69:D69"/>
    <mergeCell ref="A70:D70"/>
    <mergeCell ref="A73:B73"/>
    <mergeCell ref="A65:D65"/>
    <mergeCell ref="A76:D76"/>
    <mergeCell ref="A35:D35"/>
    <mergeCell ref="A36:D36"/>
    <mergeCell ref="A37:B37"/>
    <mergeCell ref="A31:D31"/>
    <mergeCell ref="A32:B32"/>
    <mergeCell ref="A33:D33"/>
    <mergeCell ref="A34:B34"/>
    <mergeCell ref="A66:D66"/>
    <mergeCell ref="A51:E51"/>
    <mergeCell ref="A52:D52"/>
    <mergeCell ref="A55:D55"/>
    <mergeCell ref="A53:B53"/>
    <mergeCell ref="A49:E49"/>
    <mergeCell ref="A47:D47"/>
    <mergeCell ref="A41:E41"/>
  </mergeCells>
  <phoneticPr fontId="5" type="noConversion"/>
  <pageMargins left="0.49" right="0.26" top="0.39" bottom="0.21" header="0.37" footer="0.22"/>
  <pageSetup paperSize="9" scale="80" orientation="portrait" r:id="rId1"/>
  <headerFooter alignWithMargins="0"/>
  <rowBreaks count="1" manualBreakCount="1">
    <brk id="61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E86"/>
  <sheetViews>
    <sheetView workbookViewId="0">
      <selection activeCell="A3" sqref="A1:E1048576"/>
    </sheetView>
  </sheetViews>
  <sheetFormatPr defaultRowHeight="15.75" x14ac:dyDescent="0.25"/>
  <cols>
    <col min="1" max="1" width="18.5703125" style="1" customWidth="1"/>
    <col min="2" max="2" width="28" style="1" customWidth="1"/>
    <col min="3" max="3" width="21.140625" style="1" customWidth="1"/>
    <col min="4" max="4" width="21.7109375" style="1" customWidth="1"/>
    <col min="5" max="5" width="28.7109375" style="50" customWidth="1"/>
  </cols>
  <sheetData>
    <row r="1" spans="1:5" ht="26.25" x14ac:dyDescent="0.4">
      <c r="A1" s="96" t="s">
        <v>100</v>
      </c>
      <c r="B1" s="96"/>
      <c r="C1" s="96"/>
      <c r="D1" s="96"/>
      <c r="E1" s="96"/>
    </row>
    <row r="2" spans="1:5" ht="31.5" x14ac:dyDescent="0.25">
      <c r="A2" s="92" t="s">
        <v>80</v>
      </c>
      <c r="B2" s="92"/>
      <c r="C2" s="92"/>
      <c r="D2" s="97"/>
      <c r="E2" s="37" t="s">
        <v>121</v>
      </c>
    </row>
    <row r="3" spans="1:5" x14ac:dyDescent="0.25">
      <c r="E3" s="3"/>
    </row>
    <row r="4" spans="1:5" ht="47.25" x14ac:dyDescent="0.25">
      <c r="A4" s="56" t="s">
        <v>26</v>
      </c>
      <c r="B4" s="56"/>
      <c r="C4" s="56"/>
      <c r="D4" s="56"/>
      <c r="E4" s="54" t="s">
        <v>102</v>
      </c>
    </row>
    <row r="5" spans="1:5" x14ac:dyDescent="0.25">
      <c r="A5" s="56" t="s">
        <v>27</v>
      </c>
      <c r="B5" s="56"/>
      <c r="C5" s="56"/>
      <c r="D5" s="56"/>
      <c r="E5" s="9">
        <v>80</v>
      </c>
    </row>
    <row r="6" spans="1:5" x14ac:dyDescent="0.25">
      <c r="A6" s="56" t="s">
        <v>28</v>
      </c>
      <c r="B6" s="56"/>
      <c r="C6" s="56"/>
      <c r="D6" s="56"/>
      <c r="E6" s="9">
        <v>4</v>
      </c>
    </row>
    <row r="7" spans="1:5" x14ac:dyDescent="0.25">
      <c r="A7" s="57" t="s">
        <v>29</v>
      </c>
      <c r="B7" s="57"/>
      <c r="C7" s="57"/>
      <c r="D7" s="57"/>
      <c r="E7" s="9">
        <v>8</v>
      </c>
    </row>
    <row r="8" spans="1:5" x14ac:dyDescent="0.25">
      <c r="A8" s="56" t="s">
        <v>6</v>
      </c>
      <c r="B8" s="56"/>
      <c r="C8" s="56"/>
      <c r="D8" s="56"/>
      <c r="E8" s="9">
        <v>45</v>
      </c>
    </row>
    <row r="9" spans="1:5" x14ac:dyDescent="0.25">
      <c r="A9" s="56" t="s">
        <v>30</v>
      </c>
      <c r="B9" s="56"/>
      <c r="C9" s="56"/>
      <c r="D9" s="56"/>
      <c r="E9" s="10">
        <f>ROUND(E8/60,2)</f>
        <v>0.75</v>
      </c>
    </row>
    <row r="10" spans="1:5" x14ac:dyDescent="0.25">
      <c r="A10" s="59" t="s">
        <v>31</v>
      </c>
      <c r="B10" s="60"/>
      <c r="C10" s="60"/>
      <c r="D10" s="61"/>
      <c r="E10" s="11">
        <v>72</v>
      </c>
    </row>
    <row r="11" spans="1:5" x14ac:dyDescent="0.25">
      <c r="A11" s="56" t="s">
        <v>32</v>
      </c>
      <c r="B11" s="56"/>
      <c r="C11" s="56"/>
      <c r="D11" s="56"/>
      <c r="E11" s="9">
        <v>4</v>
      </c>
    </row>
    <row r="12" spans="1:5" x14ac:dyDescent="0.25">
      <c r="A12" s="93" t="s">
        <v>93</v>
      </c>
      <c r="B12" s="94"/>
      <c r="C12" s="94"/>
      <c r="D12" s="95"/>
      <c r="E12" s="9">
        <f>E11*E9*E6</f>
        <v>12</v>
      </c>
    </row>
    <row r="13" spans="1:5" x14ac:dyDescent="0.25">
      <c r="A13" s="92" t="s">
        <v>53</v>
      </c>
      <c r="B13" s="92"/>
      <c r="C13" s="92"/>
      <c r="D13" s="92"/>
      <c r="E13" s="92"/>
    </row>
    <row r="14" spans="1:5" x14ac:dyDescent="0.25">
      <c r="A14" s="55"/>
      <c r="B14" s="55"/>
      <c r="C14" s="55"/>
      <c r="D14" s="55"/>
      <c r="E14" s="55"/>
    </row>
    <row r="15" spans="1:5" x14ac:dyDescent="0.25">
      <c r="A15" s="71" t="s">
        <v>16</v>
      </c>
      <c r="B15" s="71"/>
      <c r="C15" s="71"/>
      <c r="D15" s="71"/>
      <c r="E15" s="72"/>
    </row>
    <row r="16" spans="1:5" x14ac:dyDescent="0.25">
      <c r="A16" s="91" t="s">
        <v>119</v>
      </c>
      <c r="B16" s="58"/>
      <c r="C16" s="58"/>
      <c r="D16" s="58"/>
      <c r="E16" s="65">
        <v>8000</v>
      </c>
    </row>
    <row r="17" spans="1:5" x14ac:dyDescent="0.25">
      <c r="A17" s="62"/>
      <c r="B17" s="63"/>
      <c r="C17" s="63"/>
      <c r="D17" s="64"/>
      <c r="E17" s="66"/>
    </row>
    <row r="18" spans="1:5" x14ac:dyDescent="0.25">
      <c r="A18" s="67" t="s">
        <v>103</v>
      </c>
      <c r="B18" s="67"/>
      <c r="C18" s="67"/>
      <c r="D18" s="67"/>
      <c r="E18" s="13">
        <f>0.55*E16</f>
        <v>4400</v>
      </c>
    </row>
    <row r="19" spans="1:5" x14ac:dyDescent="0.25">
      <c r="A19" s="58" t="s">
        <v>96</v>
      </c>
      <c r="B19" s="58"/>
      <c r="C19" s="58"/>
      <c r="D19" s="58"/>
      <c r="E19" s="13">
        <f>E16*0.25</f>
        <v>2000</v>
      </c>
    </row>
    <row r="20" spans="1:5" x14ac:dyDescent="0.25">
      <c r="A20" s="58" t="s">
        <v>101</v>
      </c>
      <c r="B20" s="58"/>
      <c r="C20" s="58"/>
      <c r="D20" s="58"/>
      <c r="E20" s="13"/>
    </row>
    <row r="21" spans="1:5" x14ac:dyDescent="0.25">
      <c r="A21" s="58" t="s">
        <v>10</v>
      </c>
      <c r="B21" s="58"/>
      <c r="C21" s="58"/>
      <c r="D21" s="58"/>
      <c r="E21" s="14">
        <f>ROUND((E16+E18+E19+E20)*0.15,2)</f>
        <v>2160</v>
      </c>
    </row>
    <row r="22" spans="1:5" x14ac:dyDescent="0.25">
      <c r="A22" s="74" t="s">
        <v>11</v>
      </c>
      <c r="B22" s="74"/>
      <c r="C22" s="74"/>
      <c r="D22" s="74"/>
      <c r="E22" s="15">
        <f>SUM(E16:E21)</f>
        <v>16560</v>
      </c>
    </row>
    <row r="23" spans="1:5" x14ac:dyDescent="0.25">
      <c r="A23" s="78" t="s">
        <v>12</v>
      </c>
      <c r="B23" s="79"/>
      <c r="C23" s="79"/>
      <c r="D23" s="80"/>
      <c r="E23" s="15">
        <f>ROUND(E22/E10*E12,2)</f>
        <v>2760</v>
      </c>
    </row>
    <row r="24" spans="1:5" x14ac:dyDescent="0.25">
      <c r="A24" s="81"/>
      <c r="B24" s="81"/>
      <c r="C24" s="81"/>
      <c r="D24" s="81"/>
      <c r="E24" s="3"/>
    </row>
    <row r="25" spans="1:5" x14ac:dyDescent="0.25">
      <c r="A25" s="81"/>
      <c r="B25" s="81"/>
      <c r="C25" s="81"/>
      <c r="D25" s="81"/>
      <c r="E25" s="3"/>
    </row>
    <row r="26" spans="1:5" x14ac:dyDescent="0.25">
      <c r="A26" s="72" t="s">
        <v>17</v>
      </c>
      <c r="B26" s="72"/>
      <c r="C26" s="72"/>
      <c r="D26" s="72"/>
      <c r="E26" s="72"/>
    </row>
    <row r="27" spans="1:5" x14ac:dyDescent="0.25">
      <c r="A27" s="78" t="s">
        <v>13</v>
      </c>
      <c r="B27" s="79"/>
      <c r="C27" s="79"/>
      <c r="D27" s="80"/>
      <c r="E27" s="15">
        <f>ROUND(E23*0.302,2)</f>
        <v>833.52</v>
      </c>
    </row>
    <row r="28" spans="1:5" x14ac:dyDescent="0.25">
      <c r="E28" s="3"/>
    </row>
    <row r="30" spans="1:5" x14ac:dyDescent="0.25">
      <c r="A30" s="72" t="s">
        <v>21</v>
      </c>
      <c r="B30" s="72"/>
      <c r="C30" s="72"/>
      <c r="D30" s="72"/>
      <c r="E30" s="72"/>
    </row>
    <row r="31" spans="1:5" x14ac:dyDescent="0.25">
      <c r="A31" s="75" t="s">
        <v>135</v>
      </c>
      <c r="B31" s="76"/>
      <c r="C31" s="76"/>
      <c r="D31" s="77"/>
      <c r="E31" s="17">
        <f>32*260</f>
        <v>8320</v>
      </c>
    </row>
    <row r="32" spans="1:5" x14ac:dyDescent="0.25">
      <c r="A32" s="75" t="s">
        <v>123</v>
      </c>
      <c r="B32" s="76"/>
      <c r="C32" s="52"/>
      <c r="D32" s="53"/>
      <c r="E32" s="17">
        <v>5000</v>
      </c>
    </row>
    <row r="33" spans="1:5" x14ac:dyDescent="0.25">
      <c r="A33" s="75" t="s">
        <v>129</v>
      </c>
      <c r="B33" s="76"/>
      <c r="C33" s="76"/>
      <c r="D33" s="77"/>
      <c r="E33" s="17">
        <f>80*10</f>
        <v>800</v>
      </c>
    </row>
    <row r="34" spans="1:5" x14ac:dyDescent="0.25">
      <c r="A34" s="75" t="s">
        <v>130</v>
      </c>
      <c r="B34" s="76"/>
      <c r="C34" s="52"/>
      <c r="D34" s="53"/>
      <c r="E34" s="17">
        <f>80*50</f>
        <v>4000</v>
      </c>
    </row>
    <row r="35" spans="1:5" x14ac:dyDescent="0.25">
      <c r="A35" s="75" t="s">
        <v>128</v>
      </c>
      <c r="B35" s="76"/>
      <c r="C35" s="76"/>
      <c r="D35" s="77"/>
      <c r="E35" s="17">
        <f>20*370</f>
        <v>7400</v>
      </c>
    </row>
    <row r="36" spans="1:5" x14ac:dyDescent="0.25">
      <c r="A36" s="75" t="s">
        <v>131</v>
      </c>
      <c r="B36" s="76"/>
      <c r="C36" s="76"/>
      <c r="D36" s="77"/>
      <c r="E36" s="17">
        <f>6*100</f>
        <v>600</v>
      </c>
    </row>
    <row r="37" spans="1:5" x14ac:dyDescent="0.25">
      <c r="A37" s="75" t="s">
        <v>87</v>
      </c>
      <c r="B37" s="76"/>
      <c r="C37" s="52"/>
      <c r="D37" s="53"/>
      <c r="E37" s="17">
        <v>43000</v>
      </c>
    </row>
    <row r="38" spans="1:5" x14ac:dyDescent="0.25">
      <c r="A38" s="75" t="s">
        <v>81</v>
      </c>
      <c r="B38" s="76"/>
      <c r="C38" s="76"/>
      <c r="D38" s="77"/>
      <c r="E38" s="15">
        <f>SUM(E31:E37)</f>
        <v>69120</v>
      </c>
    </row>
    <row r="39" spans="1:5" x14ac:dyDescent="0.25">
      <c r="A39" s="75" t="s">
        <v>45</v>
      </c>
      <c r="B39" s="76"/>
      <c r="C39" s="76"/>
      <c r="D39" s="77"/>
      <c r="E39" s="15">
        <f>ROUND(E38/E7,2)</f>
        <v>8640</v>
      </c>
    </row>
    <row r="41" spans="1:5" x14ac:dyDescent="0.25">
      <c r="A41" s="72" t="s">
        <v>22</v>
      </c>
      <c r="B41" s="72"/>
      <c r="C41" s="72"/>
      <c r="D41" s="72"/>
      <c r="E41" s="72"/>
    </row>
    <row r="42" spans="1:5" ht="47.25" x14ac:dyDescent="0.25">
      <c r="A42" s="84" t="s">
        <v>40</v>
      </c>
      <c r="B42" s="84"/>
      <c r="C42" s="49" t="s">
        <v>24</v>
      </c>
      <c r="D42" s="49" t="s">
        <v>25</v>
      </c>
      <c r="E42" s="17" t="s">
        <v>23</v>
      </c>
    </row>
    <row r="43" spans="1:5" x14ac:dyDescent="0.25">
      <c r="A43" s="75" t="s">
        <v>78</v>
      </c>
      <c r="B43" s="77"/>
      <c r="C43" s="12"/>
      <c r="D43" s="18">
        <v>84</v>
      </c>
      <c r="E43" s="14">
        <f>C43/D43/E10*E9*E6*E11</f>
        <v>0</v>
      </c>
    </row>
    <row r="44" spans="1:5" x14ac:dyDescent="0.25">
      <c r="A44" s="75" t="s">
        <v>79</v>
      </c>
      <c r="B44" s="77"/>
      <c r="C44" s="12"/>
      <c r="D44" s="18">
        <v>84</v>
      </c>
      <c r="E44" s="14">
        <f>C44/D44/E10*E9*E6*E11</f>
        <v>0</v>
      </c>
    </row>
    <row r="45" spans="1:5" x14ac:dyDescent="0.25">
      <c r="A45" s="78" t="s">
        <v>44</v>
      </c>
      <c r="B45" s="79"/>
      <c r="C45" s="79"/>
      <c r="D45" s="80"/>
      <c r="E45" s="15">
        <f>E43+E44</f>
        <v>0</v>
      </c>
    </row>
    <row r="47" spans="1:5" x14ac:dyDescent="0.25">
      <c r="A47" s="98" t="s">
        <v>54</v>
      </c>
      <c r="B47" s="99"/>
      <c r="C47" s="99"/>
      <c r="D47" s="99"/>
      <c r="E47" s="24">
        <f>E23+E27+E39</f>
        <v>12233.52</v>
      </c>
    </row>
    <row r="49" spans="1:5" x14ac:dyDescent="0.25">
      <c r="A49" s="92" t="s">
        <v>55</v>
      </c>
      <c r="B49" s="92"/>
      <c r="C49" s="92"/>
      <c r="D49" s="92"/>
      <c r="E49" s="92"/>
    </row>
    <row r="50" spans="1:5" x14ac:dyDescent="0.25">
      <c r="A50" s="55"/>
      <c r="B50" s="55"/>
      <c r="C50" s="55"/>
      <c r="D50" s="55"/>
      <c r="E50" s="55"/>
    </row>
    <row r="51" spans="1:5" x14ac:dyDescent="0.25">
      <c r="A51" s="71" t="s">
        <v>33</v>
      </c>
      <c r="B51" s="71"/>
      <c r="C51" s="71"/>
      <c r="D51" s="71"/>
      <c r="E51" s="72"/>
    </row>
    <row r="52" spans="1:5" x14ac:dyDescent="0.25">
      <c r="A52" s="75" t="s">
        <v>122</v>
      </c>
      <c r="B52" s="76"/>
      <c r="C52" s="76"/>
      <c r="D52" s="77"/>
      <c r="E52" s="13">
        <f>ROUND(E53/E54,2)</f>
        <v>0.24</v>
      </c>
    </row>
    <row r="53" spans="1:5" x14ac:dyDescent="0.25">
      <c r="A53" s="75" t="s">
        <v>94</v>
      </c>
      <c r="B53" s="76"/>
      <c r="C53" s="52"/>
      <c r="D53" s="53"/>
      <c r="E53" s="13">
        <v>5163500</v>
      </c>
    </row>
    <row r="54" spans="1:5" x14ac:dyDescent="0.25">
      <c r="A54" s="51" t="s">
        <v>83</v>
      </c>
      <c r="B54" s="52"/>
      <c r="C54" s="52"/>
      <c r="D54" s="53"/>
      <c r="E54" s="13">
        <v>21814200</v>
      </c>
    </row>
    <row r="55" spans="1:5" x14ac:dyDescent="0.25">
      <c r="A55" s="58" t="s">
        <v>82</v>
      </c>
      <c r="B55" s="58"/>
      <c r="C55" s="58"/>
      <c r="D55" s="58"/>
      <c r="E55" s="15">
        <f>ROUND(E23*E52,2)</f>
        <v>662.4</v>
      </c>
    </row>
    <row r="56" spans="1:5" x14ac:dyDescent="0.25">
      <c r="A56" s="81"/>
      <c r="B56" s="81"/>
      <c r="C56" s="81"/>
      <c r="D56" s="81"/>
      <c r="E56" s="3"/>
    </row>
    <row r="57" spans="1:5" x14ac:dyDescent="0.25">
      <c r="A57" s="81"/>
      <c r="B57" s="81"/>
      <c r="C57" s="81"/>
      <c r="D57" s="81"/>
      <c r="E57" s="3"/>
    </row>
    <row r="58" spans="1:5" x14ac:dyDescent="0.25">
      <c r="A58" s="72" t="s">
        <v>17</v>
      </c>
      <c r="B58" s="72"/>
      <c r="C58" s="72"/>
      <c r="D58" s="72"/>
      <c r="E58" s="72"/>
    </row>
    <row r="59" spans="1:5" x14ac:dyDescent="0.25">
      <c r="A59" s="78" t="s">
        <v>36</v>
      </c>
      <c r="B59" s="79"/>
      <c r="C59" s="79"/>
      <c r="D59" s="80"/>
      <c r="E59" s="15">
        <f>ROUND(E55*0.302,2)</f>
        <v>200.04</v>
      </c>
    </row>
    <row r="62" spans="1:5" x14ac:dyDescent="0.25">
      <c r="A62" s="72" t="s">
        <v>37</v>
      </c>
      <c r="B62" s="72"/>
      <c r="C62" s="72"/>
      <c r="D62" s="72"/>
      <c r="E62" s="72"/>
    </row>
    <row r="63" spans="1:5" x14ac:dyDescent="0.25">
      <c r="A63" s="78" t="s">
        <v>39</v>
      </c>
      <c r="B63" s="79"/>
      <c r="C63" s="79"/>
      <c r="D63" s="80"/>
      <c r="E63" s="16" t="s">
        <v>38</v>
      </c>
    </row>
    <row r="64" spans="1:5" x14ac:dyDescent="0.25">
      <c r="A64" s="75" t="s">
        <v>85</v>
      </c>
      <c r="B64" s="79"/>
      <c r="C64" s="79"/>
      <c r="D64" s="80"/>
      <c r="E64" s="16">
        <v>8000</v>
      </c>
    </row>
    <row r="65" spans="1:5" x14ac:dyDescent="0.25">
      <c r="A65" s="75" t="s">
        <v>42</v>
      </c>
      <c r="B65" s="76"/>
      <c r="C65" s="76"/>
      <c r="D65" s="77"/>
      <c r="E65" s="24">
        <f>SUM(E64:E64)</f>
        <v>8000</v>
      </c>
    </row>
    <row r="66" spans="1:5" x14ac:dyDescent="0.25">
      <c r="A66" s="75" t="s">
        <v>43</v>
      </c>
      <c r="B66" s="76"/>
      <c r="C66" s="76"/>
      <c r="D66" s="77"/>
      <c r="E66" s="24">
        <f>ROUND(E65/12,2)</f>
        <v>666.67</v>
      </c>
    </row>
    <row r="68" spans="1:5" x14ac:dyDescent="0.25">
      <c r="A68" s="98" t="s">
        <v>46</v>
      </c>
      <c r="B68" s="99"/>
      <c r="C68" s="99"/>
      <c r="D68" s="100"/>
      <c r="E68" s="24">
        <f>E55+E59+E66</f>
        <v>1529.11</v>
      </c>
    </row>
    <row r="69" spans="1:5" x14ac:dyDescent="0.25">
      <c r="A69" s="98" t="s">
        <v>47</v>
      </c>
      <c r="B69" s="99"/>
      <c r="C69" s="99"/>
      <c r="D69" s="100"/>
      <c r="E69" s="24">
        <f>ROUND(E47/E68,2)</f>
        <v>8</v>
      </c>
    </row>
    <row r="70" spans="1:5" x14ac:dyDescent="0.25">
      <c r="A70" s="78" t="s">
        <v>48</v>
      </c>
      <c r="B70" s="79"/>
      <c r="C70" s="79"/>
      <c r="D70" s="80"/>
      <c r="E70" s="46">
        <f>ROUND(E47*E69/6,2)</f>
        <v>16311.36</v>
      </c>
    </row>
    <row r="73" spans="1:5" x14ac:dyDescent="0.25">
      <c r="A73" s="78" t="s">
        <v>64</v>
      </c>
      <c r="B73" s="79"/>
      <c r="C73" s="101" t="s">
        <v>147</v>
      </c>
      <c r="D73" s="102"/>
      <c r="E73" s="45">
        <f>E47+E70</f>
        <v>28544.880000000001</v>
      </c>
    </row>
    <row r="74" spans="1:5" x14ac:dyDescent="0.25">
      <c r="A74" s="78" t="s">
        <v>86</v>
      </c>
      <c r="B74" s="79"/>
      <c r="C74" s="79"/>
      <c r="D74" s="80"/>
      <c r="E74" s="45">
        <f>ROUND(E73*1.15,2)</f>
        <v>32826.61</v>
      </c>
    </row>
    <row r="75" spans="1:5" x14ac:dyDescent="0.25">
      <c r="A75" s="78" t="s">
        <v>49</v>
      </c>
      <c r="B75" s="79"/>
      <c r="C75" s="79"/>
      <c r="D75" s="80"/>
      <c r="E75" s="45">
        <f>ROUND(E74/E5/E11,2)</f>
        <v>102.58</v>
      </c>
    </row>
    <row r="76" spans="1:5" x14ac:dyDescent="0.25">
      <c r="A76" s="78" t="s">
        <v>50</v>
      </c>
      <c r="B76" s="79"/>
      <c r="C76" s="79"/>
      <c r="D76" s="80"/>
      <c r="E76" s="24">
        <f>ROUND(E75*E11,2)</f>
        <v>410.32</v>
      </c>
    </row>
    <row r="78" spans="1:5" x14ac:dyDescent="0.25">
      <c r="A78" s="78" t="s">
        <v>84</v>
      </c>
      <c r="B78" s="79"/>
      <c r="C78" s="79"/>
      <c r="D78" s="80"/>
      <c r="E78" s="48">
        <v>410</v>
      </c>
    </row>
    <row r="80" spans="1:5" x14ac:dyDescent="0.25">
      <c r="A80" s="1" t="s">
        <v>89</v>
      </c>
      <c r="E80" s="35" t="s">
        <v>112</v>
      </c>
    </row>
    <row r="81" spans="1:5" x14ac:dyDescent="0.25">
      <c r="E81" s="35"/>
    </row>
    <row r="82" spans="1:5" x14ac:dyDescent="0.25">
      <c r="A82" s="1" t="s">
        <v>90</v>
      </c>
      <c r="E82" s="35" t="s">
        <v>91</v>
      </c>
    </row>
    <row r="83" spans="1:5" x14ac:dyDescent="0.25">
      <c r="E83" s="35"/>
    </row>
    <row r="84" spans="1:5" x14ac:dyDescent="0.25">
      <c r="E84" s="35"/>
    </row>
    <row r="85" spans="1:5" x14ac:dyDescent="0.25">
      <c r="A85" s="1" t="s">
        <v>95</v>
      </c>
      <c r="E85" s="35"/>
    </row>
    <row r="86" spans="1:5" x14ac:dyDescent="0.25">
      <c r="A86" s="1" t="s">
        <v>92</v>
      </c>
      <c r="E86" s="35" t="s">
        <v>111</v>
      </c>
    </row>
  </sheetData>
  <mergeCells count="65">
    <mergeCell ref="A7:D7"/>
    <mergeCell ref="A1:E1"/>
    <mergeCell ref="A2:D2"/>
    <mergeCell ref="A4:D4"/>
    <mergeCell ref="A5:D5"/>
    <mergeCell ref="A6:D6"/>
    <mergeCell ref="A19:D19"/>
    <mergeCell ref="A8:D8"/>
    <mergeCell ref="A9:D9"/>
    <mergeCell ref="A10:D10"/>
    <mergeCell ref="A11:D11"/>
    <mergeCell ref="A12:D12"/>
    <mergeCell ref="A13:E13"/>
    <mergeCell ref="A15:E15"/>
    <mergeCell ref="A16:D16"/>
    <mergeCell ref="E16:E17"/>
    <mergeCell ref="A17:D17"/>
    <mergeCell ref="A18:D18"/>
    <mergeCell ref="A33:D33"/>
    <mergeCell ref="A20:D20"/>
    <mergeCell ref="A21:D21"/>
    <mergeCell ref="A22:D22"/>
    <mergeCell ref="A23:D23"/>
    <mergeCell ref="A24:D24"/>
    <mergeCell ref="A25:D25"/>
    <mergeCell ref="A26:E26"/>
    <mergeCell ref="A27:D27"/>
    <mergeCell ref="A30:E30"/>
    <mergeCell ref="A31:D31"/>
    <mergeCell ref="A32:B32"/>
    <mergeCell ref="A47:D47"/>
    <mergeCell ref="A34:B34"/>
    <mergeCell ref="A35:D35"/>
    <mergeCell ref="A36:D36"/>
    <mergeCell ref="A37:B37"/>
    <mergeCell ref="A38:D38"/>
    <mergeCell ref="A39:D39"/>
    <mergeCell ref="A41:E41"/>
    <mergeCell ref="A42:B42"/>
    <mergeCell ref="A43:B43"/>
    <mergeCell ref="A44:B44"/>
    <mergeCell ref="A45:D45"/>
    <mergeCell ref="A64:D64"/>
    <mergeCell ref="A49:E49"/>
    <mergeCell ref="A51:E51"/>
    <mergeCell ref="A52:D52"/>
    <mergeCell ref="A53:B53"/>
    <mergeCell ref="A55:D55"/>
    <mergeCell ref="A56:D56"/>
    <mergeCell ref="A57:D57"/>
    <mergeCell ref="A58:E58"/>
    <mergeCell ref="A59:D59"/>
    <mergeCell ref="A62:E62"/>
    <mergeCell ref="A63:D63"/>
    <mergeCell ref="A74:D74"/>
    <mergeCell ref="A75:D75"/>
    <mergeCell ref="A76:D76"/>
    <mergeCell ref="A78:D78"/>
    <mergeCell ref="A65:D65"/>
    <mergeCell ref="A66:D66"/>
    <mergeCell ref="A68:D68"/>
    <mergeCell ref="A69:D69"/>
    <mergeCell ref="A70:D70"/>
    <mergeCell ref="A73:B73"/>
    <mergeCell ref="C73:D7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E86"/>
  <sheetViews>
    <sheetView tabSelected="1" workbookViewId="0">
      <selection activeCell="A59" sqref="A59:D59"/>
    </sheetView>
  </sheetViews>
  <sheetFormatPr defaultRowHeight="15.75" x14ac:dyDescent="0.25"/>
  <cols>
    <col min="1" max="1" width="18.5703125" style="1" customWidth="1"/>
    <col min="2" max="2" width="28" style="1" customWidth="1"/>
    <col min="3" max="3" width="21.140625" style="1" customWidth="1"/>
    <col min="4" max="4" width="21.7109375" style="1" customWidth="1"/>
    <col min="5" max="5" width="28.7109375" style="50" customWidth="1"/>
  </cols>
  <sheetData>
    <row r="1" spans="1:5" ht="26.25" x14ac:dyDescent="0.4">
      <c r="A1" s="96" t="s">
        <v>100</v>
      </c>
      <c r="B1" s="96"/>
      <c r="C1" s="96"/>
      <c r="D1" s="96"/>
      <c r="E1" s="96"/>
    </row>
    <row r="2" spans="1:5" ht="31.5" x14ac:dyDescent="0.25">
      <c r="A2" s="92" t="s">
        <v>80</v>
      </c>
      <c r="B2" s="92"/>
      <c r="C2" s="92"/>
      <c r="D2" s="97"/>
      <c r="E2" s="37" t="s">
        <v>121</v>
      </c>
    </row>
    <row r="3" spans="1:5" x14ac:dyDescent="0.25">
      <c r="E3" s="3"/>
    </row>
    <row r="4" spans="1:5" ht="47.25" x14ac:dyDescent="0.25">
      <c r="A4" s="56" t="s">
        <v>26</v>
      </c>
      <c r="B4" s="56"/>
      <c r="C4" s="56"/>
      <c r="D4" s="56"/>
      <c r="E4" s="54" t="s">
        <v>102</v>
      </c>
    </row>
    <row r="5" spans="1:5" x14ac:dyDescent="0.25">
      <c r="A5" s="56" t="s">
        <v>27</v>
      </c>
      <c r="B5" s="56"/>
      <c r="C5" s="56"/>
      <c r="D5" s="56"/>
      <c r="E5" s="9">
        <v>80</v>
      </c>
    </row>
    <row r="6" spans="1:5" x14ac:dyDescent="0.25">
      <c r="A6" s="56" t="s">
        <v>28</v>
      </c>
      <c r="B6" s="56"/>
      <c r="C6" s="56"/>
      <c r="D6" s="56"/>
      <c r="E6" s="9">
        <v>4</v>
      </c>
    </row>
    <row r="7" spans="1:5" x14ac:dyDescent="0.25">
      <c r="A7" s="57" t="s">
        <v>29</v>
      </c>
      <c r="B7" s="57"/>
      <c r="C7" s="57"/>
      <c r="D7" s="57"/>
      <c r="E7" s="9">
        <v>8</v>
      </c>
    </row>
    <row r="8" spans="1:5" x14ac:dyDescent="0.25">
      <c r="A8" s="56" t="s">
        <v>6</v>
      </c>
      <c r="B8" s="56"/>
      <c r="C8" s="56"/>
      <c r="D8" s="56"/>
      <c r="E8" s="9">
        <v>45</v>
      </c>
    </row>
    <row r="9" spans="1:5" x14ac:dyDescent="0.25">
      <c r="A9" s="56" t="s">
        <v>30</v>
      </c>
      <c r="B9" s="56"/>
      <c r="C9" s="56"/>
      <c r="D9" s="56"/>
      <c r="E9" s="10">
        <f>ROUND(E8/60,2)</f>
        <v>0.75</v>
      </c>
    </row>
    <row r="10" spans="1:5" x14ac:dyDescent="0.25">
      <c r="A10" s="59" t="s">
        <v>31</v>
      </c>
      <c r="B10" s="60"/>
      <c r="C10" s="60"/>
      <c r="D10" s="61"/>
      <c r="E10" s="11">
        <v>72</v>
      </c>
    </row>
    <row r="11" spans="1:5" x14ac:dyDescent="0.25">
      <c r="A11" s="56" t="s">
        <v>32</v>
      </c>
      <c r="B11" s="56"/>
      <c r="C11" s="56"/>
      <c r="D11" s="56"/>
      <c r="E11" s="9">
        <v>4</v>
      </c>
    </row>
    <row r="12" spans="1:5" x14ac:dyDescent="0.25">
      <c r="A12" s="93" t="s">
        <v>93</v>
      </c>
      <c r="B12" s="94"/>
      <c r="C12" s="94"/>
      <c r="D12" s="95"/>
      <c r="E12" s="9">
        <f>E11*E9*E6</f>
        <v>12</v>
      </c>
    </row>
    <row r="13" spans="1:5" x14ac:dyDescent="0.25">
      <c r="A13" s="92" t="s">
        <v>53</v>
      </c>
      <c r="B13" s="92"/>
      <c r="C13" s="92"/>
      <c r="D13" s="92"/>
      <c r="E13" s="92"/>
    </row>
    <row r="14" spans="1:5" x14ac:dyDescent="0.25">
      <c r="A14" s="55"/>
      <c r="B14" s="55"/>
      <c r="C14" s="55"/>
      <c r="D14" s="55"/>
      <c r="E14" s="55"/>
    </row>
    <row r="15" spans="1:5" x14ac:dyDescent="0.25">
      <c r="A15" s="71" t="s">
        <v>16</v>
      </c>
      <c r="B15" s="71"/>
      <c r="C15" s="71"/>
      <c r="D15" s="71"/>
      <c r="E15" s="72"/>
    </row>
    <row r="16" spans="1:5" x14ac:dyDescent="0.25">
      <c r="A16" s="91" t="s">
        <v>119</v>
      </c>
      <c r="B16" s="58"/>
      <c r="C16" s="58"/>
      <c r="D16" s="58"/>
      <c r="E16" s="65">
        <v>8000</v>
      </c>
    </row>
    <row r="17" spans="1:5" x14ac:dyDescent="0.25">
      <c r="A17" s="62"/>
      <c r="B17" s="63"/>
      <c r="C17" s="63"/>
      <c r="D17" s="64"/>
      <c r="E17" s="66"/>
    </row>
    <row r="18" spans="1:5" x14ac:dyDescent="0.25">
      <c r="A18" s="67" t="s">
        <v>103</v>
      </c>
      <c r="B18" s="67"/>
      <c r="C18" s="67"/>
      <c r="D18" s="67"/>
      <c r="E18" s="13">
        <f>0.55*E16</f>
        <v>4400</v>
      </c>
    </row>
    <row r="19" spans="1:5" x14ac:dyDescent="0.25">
      <c r="A19" s="58" t="s">
        <v>96</v>
      </c>
      <c r="B19" s="58"/>
      <c r="C19" s="58"/>
      <c r="D19" s="58"/>
      <c r="E19" s="13">
        <f>E16*0.25</f>
        <v>2000</v>
      </c>
    </row>
    <row r="20" spans="1:5" x14ac:dyDescent="0.25">
      <c r="A20" s="58" t="s">
        <v>101</v>
      </c>
      <c r="B20" s="58"/>
      <c r="C20" s="58"/>
      <c r="D20" s="58"/>
      <c r="E20" s="13"/>
    </row>
    <row r="21" spans="1:5" x14ac:dyDescent="0.25">
      <c r="A21" s="58" t="s">
        <v>10</v>
      </c>
      <c r="B21" s="58"/>
      <c r="C21" s="58"/>
      <c r="D21" s="58"/>
      <c r="E21" s="14">
        <f>ROUND((E16+E18+E19+E20)*0.15,2)</f>
        <v>2160</v>
      </c>
    </row>
    <row r="22" spans="1:5" x14ac:dyDescent="0.25">
      <c r="A22" s="74" t="s">
        <v>11</v>
      </c>
      <c r="B22" s="74"/>
      <c r="C22" s="74"/>
      <c r="D22" s="74"/>
      <c r="E22" s="15">
        <f>SUM(E16:E21)</f>
        <v>16560</v>
      </c>
    </row>
    <row r="23" spans="1:5" x14ac:dyDescent="0.25">
      <c r="A23" s="78" t="s">
        <v>12</v>
      </c>
      <c r="B23" s="79"/>
      <c r="C23" s="79"/>
      <c r="D23" s="80"/>
      <c r="E23" s="15">
        <f>ROUND(E22/E10*E12,2)</f>
        <v>2760</v>
      </c>
    </row>
    <row r="24" spans="1:5" x14ac:dyDescent="0.25">
      <c r="A24" s="81"/>
      <c r="B24" s="81"/>
      <c r="C24" s="81"/>
      <c r="D24" s="81"/>
      <c r="E24" s="3"/>
    </row>
    <row r="25" spans="1:5" x14ac:dyDescent="0.25">
      <c r="A25" s="81"/>
      <c r="B25" s="81"/>
      <c r="C25" s="81"/>
      <c r="D25" s="81"/>
      <c r="E25" s="3"/>
    </row>
    <row r="26" spans="1:5" x14ac:dyDescent="0.25">
      <c r="A26" s="72" t="s">
        <v>17</v>
      </c>
      <c r="B26" s="72"/>
      <c r="C26" s="72"/>
      <c r="D26" s="72"/>
      <c r="E26" s="72"/>
    </row>
    <row r="27" spans="1:5" x14ac:dyDescent="0.25">
      <c r="A27" s="78" t="s">
        <v>13</v>
      </c>
      <c r="B27" s="79"/>
      <c r="C27" s="79"/>
      <c r="D27" s="80"/>
      <c r="E27" s="15">
        <f>ROUND(E23*0.302,2)</f>
        <v>833.52</v>
      </c>
    </row>
    <row r="28" spans="1:5" x14ac:dyDescent="0.25">
      <c r="E28" s="3"/>
    </row>
    <row r="30" spans="1:5" x14ac:dyDescent="0.25">
      <c r="A30" s="72" t="s">
        <v>21</v>
      </c>
      <c r="B30" s="72"/>
      <c r="C30" s="72"/>
      <c r="D30" s="72"/>
      <c r="E30" s="72"/>
    </row>
    <row r="31" spans="1:5" x14ac:dyDescent="0.25">
      <c r="A31" s="75" t="s">
        <v>135</v>
      </c>
      <c r="B31" s="76"/>
      <c r="C31" s="76"/>
      <c r="D31" s="77"/>
      <c r="E31" s="17">
        <f>32*260</f>
        <v>8320</v>
      </c>
    </row>
    <row r="32" spans="1:5" x14ac:dyDescent="0.25">
      <c r="A32" s="75" t="s">
        <v>123</v>
      </c>
      <c r="B32" s="76"/>
      <c r="C32" s="52"/>
      <c r="D32" s="53"/>
      <c r="E32" s="17">
        <v>5000</v>
      </c>
    </row>
    <row r="33" spans="1:5" x14ac:dyDescent="0.25">
      <c r="A33" s="75" t="s">
        <v>129</v>
      </c>
      <c r="B33" s="76"/>
      <c r="C33" s="76"/>
      <c r="D33" s="77"/>
      <c r="E33" s="17">
        <f>80*10</f>
        <v>800</v>
      </c>
    </row>
    <row r="34" spans="1:5" x14ac:dyDescent="0.25">
      <c r="A34" s="75" t="s">
        <v>130</v>
      </c>
      <c r="B34" s="76"/>
      <c r="C34" s="52"/>
      <c r="D34" s="53"/>
      <c r="E34" s="17">
        <f>80*50</f>
        <v>4000</v>
      </c>
    </row>
    <row r="35" spans="1:5" x14ac:dyDescent="0.25">
      <c r="A35" s="75" t="s">
        <v>128</v>
      </c>
      <c r="B35" s="76"/>
      <c r="C35" s="76"/>
      <c r="D35" s="77"/>
      <c r="E35" s="17">
        <f>20*370</f>
        <v>7400</v>
      </c>
    </row>
    <row r="36" spans="1:5" x14ac:dyDescent="0.25">
      <c r="A36" s="75" t="s">
        <v>131</v>
      </c>
      <c r="B36" s="76"/>
      <c r="C36" s="76"/>
      <c r="D36" s="77"/>
      <c r="E36" s="17">
        <f>6*100</f>
        <v>600</v>
      </c>
    </row>
    <row r="37" spans="1:5" x14ac:dyDescent="0.25">
      <c r="A37" s="75" t="s">
        <v>87</v>
      </c>
      <c r="B37" s="76"/>
      <c r="C37" s="52"/>
      <c r="D37" s="53"/>
      <c r="E37" s="17">
        <v>43000</v>
      </c>
    </row>
    <row r="38" spans="1:5" x14ac:dyDescent="0.25">
      <c r="A38" s="75" t="s">
        <v>81</v>
      </c>
      <c r="B38" s="76"/>
      <c r="C38" s="76"/>
      <c r="D38" s="77"/>
      <c r="E38" s="15">
        <f>SUM(E31:E37)</f>
        <v>69120</v>
      </c>
    </row>
    <row r="39" spans="1:5" x14ac:dyDescent="0.25">
      <c r="A39" s="75" t="s">
        <v>45</v>
      </c>
      <c r="B39" s="76"/>
      <c r="C39" s="76"/>
      <c r="D39" s="77"/>
      <c r="E39" s="15">
        <f>ROUND(E38/E7,2)</f>
        <v>8640</v>
      </c>
    </row>
    <row r="41" spans="1:5" x14ac:dyDescent="0.25">
      <c r="A41" s="72" t="s">
        <v>22</v>
      </c>
      <c r="B41" s="72"/>
      <c r="C41" s="72"/>
      <c r="D41" s="72"/>
      <c r="E41" s="72"/>
    </row>
    <row r="42" spans="1:5" ht="47.25" x14ac:dyDescent="0.25">
      <c r="A42" s="84" t="s">
        <v>40</v>
      </c>
      <c r="B42" s="84"/>
      <c r="C42" s="49" t="s">
        <v>24</v>
      </c>
      <c r="D42" s="49" t="s">
        <v>25</v>
      </c>
      <c r="E42" s="17" t="s">
        <v>23</v>
      </c>
    </row>
    <row r="43" spans="1:5" x14ac:dyDescent="0.25">
      <c r="A43" s="75" t="s">
        <v>78</v>
      </c>
      <c r="B43" s="77"/>
      <c r="C43" s="12"/>
      <c r="D43" s="18">
        <v>84</v>
      </c>
      <c r="E43" s="14">
        <f>C43/D43/E10*E9*E6*E11</f>
        <v>0</v>
      </c>
    </row>
    <row r="44" spans="1:5" x14ac:dyDescent="0.25">
      <c r="A44" s="75" t="s">
        <v>79</v>
      </c>
      <c r="B44" s="77"/>
      <c r="C44" s="12"/>
      <c r="D44" s="18">
        <v>84</v>
      </c>
      <c r="E44" s="14">
        <f>C44/D44/E10*E9*E6*E11</f>
        <v>0</v>
      </c>
    </row>
    <row r="45" spans="1:5" x14ac:dyDescent="0.25">
      <c r="A45" s="78" t="s">
        <v>44</v>
      </c>
      <c r="B45" s="79"/>
      <c r="C45" s="79"/>
      <c r="D45" s="80"/>
      <c r="E45" s="15">
        <f>E43+E44</f>
        <v>0</v>
      </c>
    </row>
    <row r="47" spans="1:5" x14ac:dyDescent="0.25">
      <c r="A47" s="98" t="s">
        <v>54</v>
      </c>
      <c r="B47" s="99"/>
      <c r="C47" s="99"/>
      <c r="D47" s="99"/>
      <c r="E47" s="24">
        <f>E23+E27+E39</f>
        <v>12233.52</v>
      </c>
    </row>
    <row r="49" spans="1:5" x14ac:dyDescent="0.25">
      <c r="A49" s="92" t="s">
        <v>55</v>
      </c>
      <c r="B49" s="92"/>
      <c r="C49" s="92"/>
      <c r="D49" s="92"/>
      <c r="E49" s="92"/>
    </row>
    <row r="50" spans="1:5" x14ac:dyDescent="0.25">
      <c r="A50" s="55"/>
      <c r="B50" s="55"/>
      <c r="C50" s="55"/>
      <c r="D50" s="55"/>
      <c r="E50" s="55"/>
    </row>
    <row r="51" spans="1:5" x14ac:dyDescent="0.25">
      <c r="A51" s="71" t="s">
        <v>33</v>
      </c>
      <c r="B51" s="71"/>
      <c r="C51" s="71"/>
      <c r="D51" s="71"/>
      <c r="E51" s="72"/>
    </row>
    <row r="52" spans="1:5" x14ac:dyDescent="0.25">
      <c r="A52" s="75" t="s">
        <v>122</v>
      </c>
      <c r="B52" s="76"/>
      <c r="C52" s="76"/>
      <c r="D52" s="77"/>
      <c r="E52" s="13">
        <f>ROUND(E53/E54,2)</f>
        <v>0.24</v>
      </c>
    </row>
    <row r="53" spans="1:5" x14ac:dyDescent="0.25">
      <c r="A53" s="75" t="s">
        <v>94</v>
      </c>
      <c r="B53" s="76"/>
      <c r="C53" s="52"/>
      <c r="D53" s="53"/>
      <c r="E53" s="13">
        <v>5163500</v>
      </c>
    </row>
    <row r="54" spans="1:5" x14ac:dyDescent="0.25">
      <c r="A54" s="51" t="s">
        <v>83</v>
      </c>
      <c r="B54" s="52"/>
      <c r="C54" s="52"/>
      <c r="D54" s="53"/>
      <c r="E54" s="13">
        <v>21814200</v>
      </c>
    </row>
    <row r="55" spans="1:5" x14ac:dyDescent="0.25">
      <c r="A55" s="58" t="s">
        <v>82</v>
      </c>
      <c r="B55" s="58"/>
      <c r="C55" s="58"/>
      <c r="D55" s="58"/>
      <c r="E55" s="15">
        <f>ROUND(E23*E52,2)</f>
        <v>662.4</v>
      </c>
    </row>
    <row r="56" spans="1:5" x14ac:dyDescent="0.25">
      <c r="A56" s="81"/>
      <c r="B56" s="81"/>
      <c r="C56" s="81"/>
      <c r="D56" s="81"/>
      <c r="E56" s="3"/>
    </row>
    <row r="57" spans="1:5" x14ac:dyDescent="0.25">
      <c r="A57" s="81"/>
      <c r="B57" s="81"/>
      <c r="C57" s="81"/>
      <c r="D57" s="81"/>
      <c r="E57" s="3"/>
    </row>
    <row r="58" spans="1:5" x14ac:dyDescent="0.25">
      <c r="A58" s="72" t="s">
        <v>17</v>
      </c>
      <c r="B58" s="72"/>
      <c r="C58" s="72"/>
      <c r="D58" s="72"/>
      <c r="E58" s="72"/>
    </row>
    <row r="59" spans="1:5" x14ac:dyDescent="0.25">
      <c r="A59" s="78" t="s">
        <v>36</v>
      </c>
      <c r="B59" s="79"/>
      <c r="C59" s="79"/>
      <c r="D59" s="80"/>
      <c r="E59" s="15">
        <f>ROUND(E55*0.302,2)</f>
        <v>200.04</v>
      </c>
    </row>
    <row r="62" spans="1:5" x14ac:dyDescent="0.25">
      <c r="A62" s="72" t="s">
        <v>37</v>
      </c>
      <c r="B62" s="72"/>
      <c r="C62" s="72"/>
      <c r="D62" s="72"/>
      <c r="E62" s="72"/>
    </row>
    <row r="63" spans="1:5" x14ac:dyDescent="0.25">
      <c r="A63" s="78" t="s">
        <v>39</v>
      </c>
      <c r="B63" s="79"/>
      <c r="C63" s="79"/>
      <c r="D63" s="80"/>
      <c r="E63" s="16" t="s">
        <v>38</v>
      </c>
    </row>
    <row r="64" spans="1:5" x14ac:dyDescent="0.25">
      <c r="A64" s="75" t="s">
        <v>85</v>
      </c>
      <c r="B64" s="79"/>
      <c r="C64" s="79"/>
      <c r="D64" s="80"/>
      <c r="E64" s="16">
        <v>8000</v>
      </c>
    </row>
    <row r="65" spans="1:5" x14ac:dyDescent="0.25">
      <c r="A65" s="75" t="s">
        <v>42</v>
      </c>
      <c r="B65" s="76"/>
      <c r="C65" s="76"/>
      <c r="D65" s="77"/>
      <c r="E65" s="24">
        <f>SUM(E64:E64)</f>
        <v>8000</v>
      </c>
    </row>
    <row r="66" spans="1:5" x14ac:dyDescent="0.25">
      <c r="A66" s="75" t="s">
        <v>43</v>
      </c>
      <c r="B66" s="76"/>
      <c r="C66" s="76"/>
      <c r="D66" s="77"/>
      <c r="E66" s="24">
        <f>ROUND(E65/12,2)</f>
        <v>666.67</v>
      </c>
    </row>
    <row r="68" spans="1:5" x14ac:dyDescent="0.25">
      <c r="A68" s="98" t="s">
        <v>46</v>
      </c>
      <c r="B68" s="99"/>
      <c r="C68" s="99"/>
      <c r="D68" s="100"/>
      <c r="E68" s="24">
        <f>E55+E59+E66</f>
        <v>1529.11</v>
      </c>
    </row>
    <row r="69" spans="1:5" x14ac:dyDescent="0.25">
      <c r="A69" s="98" t="s">
        <v>47</v>
      </c>
      <c r="B69" s="99"/>
      <c r="C69" s="99"/>
      <c r="D69" s="100"/>
      <c r="E69" s="24">
        <f>ROUND(E47/E68,2)</f>
        <v>8</v>
      </c>
    </row>
    <row r="70" spans="1:5" x14ac:dyDescent="0.25">
      <c r="A70" s="78" t="s">
        <v>48</v>
      </c>
      <c r="B70" s="79"/>
      <c r="C70" s="79"/>
      <c r="D70" s="80"/>
      <c r="E70" s="46">
        <f>ROUND(E47*E69/6,2)</f>
        <v>16311.36</v>
      </c>
    </row>
    <row r="73" spans="1:5" x14ac:dyDescent="0.25">
      <c r="A73" s="78" t="s">
        <v>64</v>
      </c>
      <c r="B73" s="79"/>
      <c r="C73" s="101" t="s">
        <v>148</v>
      </c>
      <c r="D73" s="102"/>
      <c r="E73" s="45">
        <f>E47+E70</f>
        <v>28544.880000000001</v>
      </c>
    </row>
    <row r="74" spans="1:5" x14ac:dyDescent="0.25">
      <c r="A74" s="78" t="s">
        <v>86</v>
      </c>
      <c r="B74" s="79"/>
      <c r="C74" s="79"/>
      <c r="D74" s="80"/>
      <c r="E74" s="45">
        <f>ROUND(E73*1.15,2)</f>
        <v>32826.61</v>
      </c>
    </row>
    <row r="75" spans="1:5" x14ac:dyDescent="0.25">
      <c r="A75" s="78" t="s">
        <v>49</v>
      </c>
      <c r="B75" s="79"/>
      <c r="C75" s="79"/>
      <c r="D75" s="80"/>
      <c r="E75" s="45">
        <f>ROUND(E74/E5/E11,2)</f>
        <v>102.58</v>
      </c>
    </row>
    <row r="76" spans="1:5" x14ac:dyDescent="0.25">
      <c r="A76" s="78" t="s">
        <v>50</v>
      </c>
      <c r="B76" s="79"/>
      <c r="C76" s="79"/>
      <c r="D76" s="80"/>
      <c r="E76" s="24">
        <f>ROUND(E75*E11,2)</f>
        <v>410.32</v>
      </c>
    </row>
    <row r="78" spans="1:5" x14ac:dyDescent="0.25">
      <c r="A78" s="78" t="s">
        <v>84</v>
      </c>
      <c r="B78" s="79"/>
      <c r="C78" s="79"/>
      <c r="D78" s="80"/>
      <c r="E78" s="48">
        <v>410</v>
      </c>
    </row>
    <row r="80" spans="1:5" x14ac:dyDescent="0.25">
      <c r="A80" s="1" t="s">
        <v>89</v>
      </c>
      <c r="E80" s="35" t="s">
        <v>112</v>
      </c>
    </row>
    <row r="81" spans="1:5" x14ac:dyDescent="0.25">
      <c r="E81" s="35"/>
    </row>
    <row r="82" spans="1:5" x14ac:dyDescent="0.25">
      <c r="A82" s="1" t="s">
        <v>90</v>
      </c>
      <c r="E82" s="35" t="s">
        <v>91</v>
      </c>
    </row>
    <row r="83" spans="1:5" x14ac:dyDescent="0.25">
      <c r="E83" s="35"/>
    </row>
    <row r="84" spans="1:5" x14ac:dyDescent="0.25">
      <c r="E84" s="35"/>
    </row>
    <row r="85" spans="1:5" x14ac:dyDescent="0.25">
      <c r="A85" s="1" t="s">
        <v>95</v>
      </c>
      <c r="E85" s="35"/>
    </row>
    <row r="86" spans="1:5" x14ac:dyDescent="0.25">
      <c r="A86" s="1" t="s">
        <v>92</v>
      </c>
      <c r="E86" s="35" t="s">
        <v>111</v>
      </c>
    </row>
  </sheetData>
  <mergeCells count="65">
    <mergeCell ref="A7:D7"/>
    <mergeCell ref="A1:E1"/>
    <mergeCell ref="A2:D2"/>
    <mergeCell ref="A4:D4"/>
    <mergeCell ref="A5:D5"/>
    <mergeCell ref="A6:D6"/>
    <mergeCell ref="A19:D19"/>
    <mergeCell ref="A8:D8"/>
    <mergeCell ref="A9:D9"/>
    <mergeCell ref="A10:D10"/>
    <mergeCell ref="A11:D11"/>
    <mergeCell ref="A12:D12"/>
    <mergeCell ref="A13:E13"/>
    <mergeCell ref="A15:E15"/>
    <mergeCell ref="A16:D16"/>
    <mergeCell ref="E16:E17"/>
    <mergeCell ref="A17:D17"/>
    <mergeCell ref="A18:D18"/>
    <mergeCell ref="A33:D33"/>
    <mergeCell ref="A20:D20"/>
    <mergeCell ref="A21:D21"/>
    <mergeCell ref="A22:D22"/>
    <mergeCell ref="A23:D23"/>
    <mergeCell ref="A24:D24"/>
    <mergeCell ref="A25:D25"/>
    <mergeCell ref="A26:E26"/>
    <mergeCell ref="A27:D27"/>
    <mergeCell ref="A30:E30"/>
    <mergeCell ref="A31:D31"/>
    <mergeCell ref="A32:B32"/>
    <mergeCell ref="A47:D47"/>
    <mergeCell ref="A34:B34"/>
    <mergeCell ref="A35:D35"/>
    <mergeCell ref="A36:D36"/>
    <mergeCell ref="A37:B37"/>
    <mergeCell ref="A38:D38"/>
    <mergeCell ref="A39:D39"/>
    <mergeCell ref="A41:E41"/>
    <mergeCell ref="A42:B42"/>
    <mergeCell ref="A43:B43"/>
    <mergeCell ref="A44:B44"/>
    <mergeCell ref="A45:D45"/>
    <mergeCell ref="A64:D64"/>
    <mergeCell ref="A49:E49"/>
    <mergeCell ref="A51:E51"/>
    <mergeCell ref="A52:D52"/>
    <mergeCell ref="A53:B53"/>
    <mergeCell ref="A55:D55"/>
    <mergeCell ref="A56:D56"/>
    <mergeCell ref="A57:D57"/>
    <mergeCell ref="A58:E58"/>
    <mergeCell ref="A59:D59"/>
    <mergeCell ref="A62:E62"/>
    <mergeCell ref="A63:D63"/>
    <mergeCell ref="A74:D74"/>
    <mergeCell ref="A75:D75"/>
    <mergeCell ref="A76:D76"/>
    <mergeCell ref="A78:D78"/>
    <mergeCell ref="A65:D65"/>
    <mergeCell ref="A66:D66"/>
    <mergeCell ref="A68:D68"/>
    <mergeCell ref="A69:D69"/>
    <mergeCell ref="A70:D70"/>
    <mergeCell ref="A73:B73"/>
    <mergeCell ref="C73:D7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G86"/>
  <sheetViews>
    <sheetView topLeftCell="A89" workbookViewId="0">
      <selection activeCell="E39" sqref="E39"/>
    </sheetView>
  </sheetViews>
  <sheetFormatPr defaultRowHeight="15.75" x14ac:dyDescent="0.25"/>
  <cols>
    <col min="1" max="1" width="18.5703125" style="1" customWidth="1"/>
    <col min="2" max="2" width="28" style="1" customWidth="1"/>
    <col min="3" max="3" width="21.140625" style="1" customWidth="1"/>
    <col min="4" max="4" width="21.7109375" style="1" customWidth="1"/>
    <col min="5" max="5" width="28.7109375" style="4" customWidth="1"/>
    <col min="6" max="6" width="18.28515625" style="1" customWidth="1"/>
    <col min="7" max="7" width="18.140625" style="1" customWidth="1"/>
    <col min="8" max="8" width="20.140625" style="1" customWidth="1"/>
    <col min="9" max="16384" width="9.140625" style="1"/>
  </cols>
  <sheetData>
    <row r="1" spans="1:7" ht="28.5" customHeight="1" x14ac:dyDescent="0.4">
      <c r="A1" s="96" t="s">
        <v>100</v>
      </c>
      <c r="B1" s="96"/>
      <c r="C1" s="96"/>
      <c r="D1" s="96"/>
      <c r="E1" s="96"/>
      <c r="F1" s="38"/>
    </row>
    <row r="2" spans="1:7" ht="33.75" customHeight="1" x14ac:dyDescent="0.25">
      <c r="A2" s="43" t="s">
        <v>80</v>
      </c>
      <c r="C2" s="43"/>
      <c r="D2" s="43"/>
      <c r="E2" s="33" t="s">
        <v>106</v>
      </c>
      <c r="G2" s="43"/>
    </row>
    <row r="3" spans="1:7" x14ac:dyDescent="0.25">
      <c r="E3" s="3"/>
    </row>
    <row r="4" spans="1:7" ht="47.25" customHeight="1" x14ac:dyDescent="0.25">
      <c r="A4" s="56" t="s">
        <v>26</v>
      </c>
      <c r="B4" s="56"/>
      <c r="C4" s="56"/>
      <c r="D4" s="56"/>
      <c r="E4" s="34" t="s">
        <v>102</v>
      </c>
      <c r="F4" s="36"/>
    </row>
    <row r="5" spans="1:7" x14ac:dyDescent="0.25">
      <c r="A5" s="56" t="s">
        <v>27</v>
      </c>
      <c r="B5" s="56"/>
      <c r="C5" s="56"/>
      <c r="D5" s="56"/>
      <c r="E5" s="9">
        <v>75</v>
      </c>
    </row>
    <row r="6" spans="1:7" x14ac:dyDescent="0.25">
      <c r="A6" s="56" t="s">
        <v>28</v>
      </c>
      <c r="B6" s="56"/>
      <c r="C6" s="56"/>
      <c r="D6" s="56"/>
      <c r="E6" s="9">
        <v>3</v>
      </c>
    </row>
    <row r="7" spans="1:7" ht="18.75" customHeight="1" x14ac:dyDescent="0.25">
      <c r="A7" s="57" t="s">
        <v>29</v>
      </c>
      <c r="B7" s="57"/>
      <c r="C7" s="57"/>
      <c r="D7" s="57"/>
      <c r="E7" s="9">
        <v>6</v>
      </c>
    </row>
    <row r="8" spans="1:7" ht="17.25" customHeight="1" x14ac:dyDescent="0.25">
      <c r="A8" s="56" t="s">
        <v>6</v>
      </c>
      <c r="B8" s="56"/>
      <c r="C8" s="56"/>
      <c r="D8" s="56"/>
      <c r="E8" s="9">
        <v>30</v>
      </c>
    </row>
    <row r="9" spans="1:7" ht="17.25" customHeight="1" x14ac:dyDescent="0.25">
      <c r="A9" s="56" t="s">
        <v>30</v>
      </c>
      <c r="B9" s="56"/>
      <c r="C9" s="56"/>
      <c r="D9" s="56"/>
      <c r="E9" s="10">
        <f>ROUND(E8/60,2)</f>
        <v>0.5</v>
      </c>
    </row>
    <row r="10" spans="1:7" x14ac:dyDescent="0.25">
      <c r="A10" s="59" t="s">
        <v>31</v>
      </c>
      <c r="B10" s="60"/>
      <c r="C10" s="60"/>
      <c r="D10" s="61"/>
      <c r="E10" s="11">
        <v>72</v>
      </c>
    </row>
    <row r="11" spans="1:7" x14ac:dyDescent="0.25">
      <c r="A11" s="56" t="s">
        <v>32</v>
      </c>
      <c r="B11" s="56"/>
      <c r="C11" s="56"/>
      <c r="D11" s="56"/>
      <c r="E11" s="9">
        <v>8</v>
      </c>
    </row>
    <row r="12" spans="1:7" x14ac:dyDescent="0.25">
      <c r="A12" s="93" t="s">
        <v>93</v>
      </c>
      <c r="B12" s="94"/>
      <c r="C12" s="94"/>
      <c r="D12" s="95"/>
      <c r="E12" s="9">
        <f>E11*E9*E6</f>
        <v>12</v>
      </c>
    </row>
    <row r="13" spans="1:7" ht="15.75" customHeight="1" x14ac:dyDescent="0.25">
      <c r="A13" s="92" t="s">
        <v>53</v>
      </c>
      <c r="B13" s="92"/>
      <c r="C13" s="92"/>
      <c r="D13" s="92"/>
      <c r="E13" s="92"/>
    </row>
    <row r="14" spans="1:7" ht="15.75" customHeight="1" x14ac:dyDescent="0.25">
      <c r="A14" s="44"/>
      <c r="B14" s="44"/>
      <c r="C14" s="44"/>
      <c r="D14" s="44"/>
      <c r="E14" s="44"/>
    </row>
    <row r="15" spans="1:7" ht="23.25" customHeight="1" x14ac:dyDescent="0.25">
      <c r="A15" s="71" t="s">
        <v>16</v>
      </c>
      <c r="B15" s="71"/>
      <c r="C15" s="71"/>
      <c r="D15" s="71"/>
      <c r="E15" s="72"/>
    </row>
    <row r="16" spans="1:7" ht="17.25" customHeight="1" x14ac:dyDescent="0.25">
      <c r="A16" s="91" t="s">
        <v>110</v>
      </c>
      <c r="B16" s="58"/>
      <c r="C16" s="58"/>
      <c r="D16" s="58"/>
      <c r="E16" s="65">
        <v>8000</v>
      </c>
    </row>
    <row r="17" spans="1:7" ht="15" hidden="1" customHeight="1" x14ac:dyDescent="0.25">
      <c r="A17" s="62"/>
      <c r="B17" s="63"/>
      <c r="C17" s="63"/>
      <c r="D17" s="64"/>
      <c r="E17" s="66"/>
      <c r="F17" s="6"/>
    </row>
    <row r="18" spans="1:7" x14ac:dyDescent="0.25">
      <c r="A18" s="67" t="s">
        <v>103</v>
      </c>
      <c r="B18" s="67"/>
      <c r="C18" s="67"/>
      <c r="D18" s="67"/>
      <c r="E18" s="13">
        <f>0.55*E16</f>
        <v>4400</v>
      </c>
      <c r="G18" s="6"/>
    </row>
    <row r="19" spans="1:7" x14ac:dyDescent="0.25">
      <c r="A19" s="58" t="s">
        <v>96</v>
      </c>
      <c r="B19" s="58"/>
      <c r="C19" s="58"/>
      <c r="D19" s="58"/>
      <c r="E19" s="13">
        <f>E16*0.25</f>
        <v>2000</v>
      </c>
    </row>
    <row r="20" spans="1:7" hidden="1" x14ac:dyDescent="0.25">
      <c r="A20" s="58" t="s">
        <v>101</v>
      </c>
      <c r="B20" s="58"/>
      <c r="C20" s="58"/>
      <c r="D20" s="58"/>
      <c r="E20" s="13"/>
    </row>
    <row r="21" spans="1:7" x14ac:dyDescent="0.25">
      <c r="A21" s="58" t="s">
        <v>10</v>
      </c>
      <c r="B21" s="58"/>
      <c r="C21" s="58"/>
      <c r="D21" s="58"/>
      <c r="E21" s="14">
        <f>ROUND((E16+E18+E19+E20)*0.15,2)</f>
        <v>2160</v>
      </c>
    </row>
    <row r="22" spans="1:7" x14ac:dyDescent="0.25">
      <c r="A22" s="74" t="s">
        <v>11</v>
      </c>
      <c r="B22" s="74"/>
      <c r="C22" s="74"/>
      <c r="D22" s="74"/>
      <c r="E22" s="15">
        <f>SUM(E16:E21)</f>
        <v>16560</v>
      </c>
    </row>
    <row r="23" spans="1:7" ht="33" customHeight="1" x14ac:dyDescent="0.25">
      <c r="A23" s="78" t="s">
        <v>12</v>
      </c>
      <c r="B23" s="79"/>
      <c r="C23" s="79"/>
      <c r="D23" s="80"/>
      <c r="E23" s="15">
        <f>ROUND(E22/E10*E12,2)</f>
        <v>2760</v>
      </c>
    </row>
    <row r="24" spans="1:7" x14ac:dyDescent="0.25">
      <c r="A24" s="81"/>
      <c r="B24" s="81"/>
      <c r="C24" s="81"/>
      <c r="D24" s="81"/>
      <c r="E24" s="3"/>
    </row>
    <row r="25" spans="1:7" x14ac:dyDescent="0.25">
      <c r="A25" s="81"/>
      <c r="B25" s="81"/>
      <c r="C25" s="81"/>
      <c r="D25" s="81"/>
      <c r="E25" s="3"/>
    </row>
    <row r="26" spans="1:7" ht="24" customHeight="1" x14ac:dyDescent="0.25">
      <c r="A26" s="72" t="s">
        <v>17</v>
      </c>
      <c r="B26" s="72"/>
      <c r="C26" s="72"/>
      <c r="D26" s="72"/>
      <c r="E26" s="72"/>
    </row>
    <row r="27" spans="1:7" ht="35.25" customHeight="1" x14ac:dyDescent="0.25">
      <c r="A27" s="78" t="s">
        <v>13</v>
      </c>
      <c r="B27" s="79"/>
      <c r="C27" s="79"/>
      <c r="D27" s="80"/>
      <c r="E27" s="15">
        <f>ROUND(E23*0.302,2)</f>
        <v>833.52</v>
      </c>
    </row>
    <row r="28" spans="1:7" x14ac:dyDescent="0.25">
      <c r="E28" s="3"/>
    </row>
    <row r="30" spans="1:7" ht="21" customHeight="1" x14ac:dyDescent="0.25">
      <c r="A30" s="72" t="s">
        <v>21</v>
      </c>
      <c r="B30" s="72"/>
      <c r="C30" s="72"/>
      <c r="D30" s="72"/>
      <c r="E30" s="72"/>
    </row>
    <row r="31" spans="1:7" ht="15.75" customHeight="1" x14ac:dyDescent="0.25">
      <c r="A31" s="75" t="s">
        <v>140</v>
      </c>
      <c r="B31" s="76"/>
      <c r="C31" s="76"/>
      <c r="D31" s="77"/>
      <c r="E31" s="17">
        <f>24*260</f>
        <v>6240</v>
      </c>
    </row>
    <row r="32" spans="1:7" ht="15.75" customHeight="1" x14ac:dyDescent="0.25">
      <c r="A32" s="75" t="s">
        <v>123</v>
      </c>
      <c r="B32" s="76"/>
      <c r="C32" s="30"/>
      <c r="D32" s="31"/>
      <c r="E32" s="17">
        <v>2500</v>
      </c>
    </row>
    <row r="33" spans="1:5" ht="15.75" customHeight="1" x14ac:dyDescent="0.25">
      <c r="A33" s="75" t="s">
        <v>126</v>
      </c>
      <c r="B33" s="76"/>
      <c r="C33" s="76"/>
      <c r="D33" s="77"/>
      <c r="E33" s="17">
        <f>75*10</f>
        <v>750</v>
      </c>
    </row>
    <row r="34" spans="1:5" ht="15.75" customHeight="1" x14ac:dyDescent="0.25">
      <c r="A34" s="75" t="s">
        <v>127</v>
      </c>
      <c r="B34" s="76"/>
      <c r="C34" s="30"/>
      <c r="D34" s="31"/>
      <c r="E34" s="17">
        <f>75*50</f>
        <v>3750</v>
      </c>
    </row>
    <row r="35" spans="1:5" ht="15.75" customHeight="1" x14ac:dyDescent="0.25">
      <c r="A35" s="75" t="s">
        <v>125</v>
      </c>
      <c r="B35" s="76"/>
      <c r="C35" s="76"/>
      <c r="D35" s="77"/>
      <c r="E35" s="17">
        <f>25*280</f>
        <v>7000</v>
      </c>
    </row>
    <row r="36" spans="1:5" ht="15.75" customHeight="1" x14ac:dyDescent="0.25">
      <c r="A36" s="75" t="s">
        <v>124</v>
      </c>
      <c r="B36" s="76"/>
      <c r="C36" s="76"/>
      <c r="D36" s="77"/>
      <c r="E36" s="17">
        <f>5*100</f>
        <v>500</v>
      </c>
    </row>
    <row r="37" spans="1:5" ht="15.75" customHeight="1" x14ac:dyDescent="0.25">
      <c r="A37" s="75" t="s">
        <v>87</v>
      </c>
      <c r="B37" s="76"/>
      <c r="C37" s="30"/>
      <c r="D37" s="31"/>
      <c r="E37" s="17">
        <v>28200</v>
      </c>
    </row>
    <row r="38" spans="1:5" ht="15.75" customHeight="1" x14ac:dyDescent="0.25">
      <c r="A38" s="75" t="s">
        <v>81</v>
      </c>
      <c r="B38" s="76"/>
      <c r="C38" s="76"/>
      <c r="D38" s="77"/>
      <c r="E38" s="15">
        <f>SUM(E31:E37)</f>
        <v>48940</v>
      </c>
    </row>
    <row r="39" spans="1:5" x14ac:dyDescent="0.25">
      <c r="A39" s="75" t="s">
        <v>45</v>
      </c>
      <c r="B39" s="76"/>
      <c r="C39" s="76"/>
      <c r="D39" s="77"/>
      <c r="E39" s="15">
        <f>ROUND(E38/E7,2)</f>
        <v>8156.67</v>
      </c>
    </row>
    <row r="41" spans="1:5" hidden="1" x14ac:dyDescent="0.25">
      <c r="A41" s="72" t="s">
        <v>22</v>
      </c>
      <c r="B41" s="72"/>
      <c r="C41" s="72"/>
      <c r="D41" s="72"/>
      <c r="E41" s="72"/>
    </row>
    <row r="42" spans="1:5" ht="47.25" hidden="1" x14ac:dyDescent="0.25">
      <c r="A42" s="84" t="s">
        <v>40</v>
      </c>
      <c r="B42" s="84"/>
      <c r="C42" s="5" t="s">
        <v>24</v>
      </c>
      <c r="D42" s="5" t="s">
        <v>25</v>
      </c>
      <c r="E42" s="17" t="s">
        <v>23</v>
      </c>
    </row>
    <row r="43" spans="1:5" hidden="1" x14ac:dyDescent="0.25">
      <c r="A43" s="75" t="s">
        <v>78</v>
      </c>
      <c r="B43" s="77"/>
      <c r="C43" s="12"/>
      <c r="D43" s="18">
        <v>84</v>
      </c>
      <c r="E43" s="14">
        <f>C43/D43/E10*E9*E6*E11</f>
        <v>0</v>
      </c>
    </row>
    <row r="44" spans="1:5" hidden="1" x14ac:dyDescent="0.25">
      <c r="A44" s="75" t="s">
        <v>79</v>
      </c>
      <c r="B44" s="77"/>
      <c r="C44" s="12"/>
      <c r="D44" s="18">
        <v>84</v>
      </c>
      <c r="E44" s="14">
        <f>C44/D44/E10*E9*E6*E11</f>
        <v>0</v>
      </c>
    </row>
    <row r="45" spans="1:5" hidden="1" x14ac:dyDescent="0.25">
      <c r="A45" s="78" t="s">
        <v>44</v>
      </c>
      <c r="B45" s="79"/>
      <c r="C45" s="79"/>
      <c r="D45" s="80"/>
      <c r="E45" s="15">
        <f>E43+E44</f>
        <v>0</v>
      </c>
    </row>
    <row r="46" spans="1:5" hidden="1" x14ac:dyDescent="0.25"/>
    <row r="47" spans="1:5" x14ac:dyDescent="0.25">
      <c r="A47" s="98" t="s">
        <v>54</v>
      </c>
      <c r="B47" s="99"/>
      <c r="C47" s="99"/>
      <c r="D47" s="99"/>
      <c r="E47" s="24">
        <f>E23+E27+E39</f>
        <v>11750.19</v>
      </c>
    </row>
    <row r="49" spans="1:5" x14ac:dyDescent="0.25">
      <c r="A49" s="92" t="s">
        <v>55</v>
      </c>
      <c r="B49" s="92"/>
      <c r="C49" s="92"/>
      <c r="D49" s="92"/>
      <c r="E49" s="92"/>
    </row>
    <row r="50" spans="1:5" x14ac:dyDescent="0.25">
      <c r="A50" s="44"/>
      <c r="B50" s="44"/>
      <c r="C50" s="44"/>
      <c r="D50" s="44"/>
      <c r="E50" s="44"/>
    </row>
    <row r="51" spans="1:5" x14ac:dyDescent="0.25">
      <c r="A51" s="71" t="s">
        <v>33</v>
      </c>
      <c r="B51" s="71"/>
      <c r="C51" s="71"/>
      <c r="D51" s="71"/>
      <c r="E51" s="72"/>
    </row>
    <row r="52" spans="1:5" ht="30.75" customHeight="1" x14ac:dyDescent="0.25">
      <c r="A52" s="75" t="s">
        <v>113</v>
      </c>
      <c r="B52" s="76"/>
      <c r="C52" s="76"/>
      <c r="D52" s="77"/>
      <c r="E52" s="13">
        <f>ROUND(E53/E54,2)</f>
        <v>0.24</v>
      </c>
    </row>
    <row r="53" spans="1:5" x14ac:dyDescent="0.25">
      <c r="A53" s="75" t="s">
        <v>94</v>
      </c>
      <c r="B53" s="76"/>
      <c r="C53" s="30"/>
      <c r="D53" s="31"/>
      <c r="E53" s="13">
        <v>5163500</v>
      </c>
    </row>
    <row r="54" spans="1:5" x14ac:dyDescent="0.25">
      <c r="A54" s="32" t="s">
        <v>83</v>
      </c>
      <c r="B54" s="30"/>
      <c r="C54" s="30"/>
      <c r="D54" s="31"/>
      <c r="E54" s="13">
        <v>21814200</v>
      </c>
    </row>
    <row r="55" spans="1:5" x14ac:dyDescent="0.25">
      <c r="A55" s="58" t="s">
        <v>82</v>
      </c>
      <c r="B55" s="58"/>
      <c r="C55" s="58"/>
      <c r="D55" s="58"/>
      <c r="E55" s="15">
        <f>ROUND(E23*E52,2)</f>
        <v>662.4</v>
      </c>
    </row>
    <row r="56" spans="1:5" x14ac:dyDescent="0.25">
      <c r="A56" s="81"/>
      <c r="B56" s="81"/>
      <c r="C56" s="81"/>
      <c r="D56" s="81"/>
      <c r="E56" s="3"/>
    </row>
    <row r="57" spans="1:5" x14ac:dyDescent="0.25">
      <c r="A57" s="81"/>
      <c r="B57" s="81"/>
      <c r="C57" s="81"/>
      <c r="D57" s="81"/>
      <c r="E57" s="3"/>
    </row>
    <row r="58" spans="1:5" x14ac:dyDescent="0.25">
      <c r="A58" s="72" t="s">
        <v>17</v>
      </c>
      <c r="B58" s="72"/>
      <c r="C58" s="72"/>
      <c r="D58" s="72"/>
      <c r="E58" s="72"/>
    </row>
    <row r="59" spans="1:5" x14ac:dyDescent="0.25">
      <c r="A59" s="78" t="s">
        <v>36</v>
      </c>
      <c r="B59" s="79"/>
      <c r="C59" s="79"/>
      <c r="D59" s="80"/>
      <c r="E59" s="15">
        <f>ROUND(E55*0.302,2)</f>
        <v>200.04</v>
      </c>
    </row>
    <row r="62" spans="1:5" x14ac:dyDescent="0.25">
      <c r="A62" s="72" t="s">
        <v>37</v>
      </c>
      <c r="B62" s="72"/>
      <c r="C62" s="72"/>
      <c r="D62" s="72"/>
      <c r="E62" s="72"/>
    </row>
    <row r="63" spans="1:5" ht="15.75" customHeight="1" x14ac:dyDescent="0.25">
      <c r="A63" s="78" t="s">
        <v>39</v>
      </c>
      <c r="B63" s="79"/>
      <c r="C63" s="79"/>
      <c r="D63" s="80"/>
      <c r="E63" s="16" t="s">
        <v>38</v>
      </c>
    </row>
    <row r="64" spans="1:5" ht="15.75" customHeight="1" x14ac:dyDescent="0.25">
      <c r="A64" s="75" t="s">
        <v>85</v>
      </c>
      <c r="B64" s="79"/>
      <c r="C64" s="79"/>
      <c r="D64" s="80"/>
      <c r="E64" s="16">
        <v>8000</v>
      </c>
    </row>
    <row r="65" spans="1:7" ht="15.75" customHeight="1" x14ac:dyDescent="0.25">
      <c r="A65" s="75" t="s">
        <v>42</v>
      </c>
      <c r="B65" s="76"/>
      <c r="C65" s="76"/>
      <c r="D65" s="77"/>
      <c r="E65" s="24">
        <f>SUM(E64:E64)</f>
        <v>8000</v>
      </c>
    </row>
    <row r="66" spans="1:7" x14ac:dyDescent="0.25">
      <c r="A66" s="75" t="s">
        <v>43</v>
      </c>
      <c r="B66" s="76"/>
      <c r="C66" s="76"/>
      <c r="D66" s="77"/>
      <c r="E66" s="24">
        <f>ROUND(E65/12,2)</f>
        <v>666.67</v>
      </c>
    </row>
    <row r="68" spans="1:7" x14ac:dyDescent="0.25">
      <c r="A68" s="98" t="s">
        <v>46</v>
      </c>
      <c r="B68" s="99"/>
      <c r="C68" s="99"/>
      <c r="D68" s="100"/>
      <c r="E68" s="24">
        <f>E55+E59+E66</f>
        <v>1529.11</v>
      </c>
    </row>
    <row r="69" spans="1:7" x14ac:dyDescent="0.25">
      <c r="A69" s="98" t="s">
        <v>47</v>
      </c>
      <c r="B69" s="99"/>
      <c r="C69" s="99"/>
      <c r="D69" s="100"/>
      <c r="E69" s="24">
        <f>ROUND(E47/E68,2)</f>
        <v>7.68</v>
      </c>
    </row>
    <row r="70" spans="1:7" x14ac:dyDescent="0.25">
      <c r="A70" s="78" t="s">
        <v>48</v>
      </c>
      <c r="B70" s="79"/>
      <c r="C70" s="79"/>
      <c r="D70" s="80"/>
      <c r="E70" s="46">
        <f>ROUND(E47*E69/6,2)</f>
        <v>15040.24</v>
      </c>
    </row>
    <row r="72" spans="1:7" ht="18.75" customHeight="1" x14ac:dyDescent="0.25"/>
    <row r="73" spans="1:7" ht="33" customHeight="1" x14ac:dyDescent="0.25">
      <c r="A73" s="78" t="s">
        <v>64</v>
      </c>
      <c r="B73" s="79"/>
      <c r="C73" s="101" t="s">
        <v>106</v>
      </c>
      <c r="D73" s="102"/>
      <c r="E73" s="45">
        <f>E47+E70</f>
        <v>26790.43</v>
      </c>
    </row>
    <row r="74" spans="1:7" ht="18" customHeight="1" x14ac:dyDescent="0.25">
      <c r="A74" s="78" t="s">
        <v>86</v>
      </c>
      <c r="B74" s="79"/>
      <c r="C74" s="79"/>
      <c r="D74" s="80"/>
      <c r="E74" s="45">
        <f>ROUND(E73*1.15,2)</f>
        <v>30808.99</v>
      </c>
    </row>
    <row r="75" spans="1:7" ht="19.5" customHeight="1" x14ac:dyDescent="0.25">
      <c r="A75" s="78" t="s">
        <v>49</v>
      </c>
      <c r="B75" s="79"/>
      <c r="C75" s="79"/>
      <c r="D75" s="80"/>
      <c r="E75" s="45">
        <f>ROUND(E74/E5/E11,2)</f>
        <v>51.35</v>
      </c>
    </row>
    <row r="76" spans="1:7" ht="19.5" customHeight="1" x14ac:dyDescent="0.25">
      <c r="A76" s="78" t="s">
        <v>50</v>
      </c>
      <c r="B76" s="79"/>
      <c r="C76" s="79"/>
      <c r="D76" s="80"/>
      <c r="E76" s="24">
        <f>ROUND(E75*E11,2)</f>
        <v>410.8</v>
      </c>
      <c r="F76" s="47"/>
      <c r="G76" s="29"/>
    </row>
    <row r="78" spans="1:7" ht="21" customHeight="1" x14ac:dyDescent="0.25">
      <c r="A78" s="78" t="s">
        <v>84</v>
      </c>
      <c r="B78" s="79"/>
      <c r="C78" s="79"/>
      <c r="D78" s="80"/>
      <c r="E78" s="48">
        <v>410</v>
      </c>
    </row>
    <row r="79" spans="1:7" ht="23.45" customHeight="1" x14ac:dyDescent="0.25"/>
    <row r="80" spans="1:7" x14ac:dyDescent="0.25">
      <c r="A80" s="1" t="s">
        <v>89</v>
      </c>
      <c r="E80" s="35" t="s">
        <v>112</v>
      </c>
    </row>
    <row r="81" spans="1:5" x14ac:dyDescent="0.25">
      <c r="E81" s="35"/>
    </row>
    <row r="82" spans="1:5" x14ac:dyDescent="0.25">
      <c r="A82" s="1" t="s">
        <v>90</v>
      </c>
      <c r="E82" s="35" t="s">
        <v>91</v>
      </c>
    </row>
    <row r="83" spans="1:5" x14ac:dyDescent="0.25">
      <c r="E83" s="35"/>
    </row>
    <row r="84" spans="1:5" x14ac:dyDescent="0.25">
      <c r="E84" s="35"/>
    </row>
    <row r="85" spans="1:5" x14ac:dyDescent="0.25">
      <c r="A85" s="1" t="s">
        <v>95</v>
      </c>
      <c r="E85" s="35"/>
    </row>
    <row r="86" spans="1:5" x14ac:dyDescent="0.25">
      <c r="A86" s="1" t="s">
        <v>92</v>
      </c>
      <c r="E86" s="35" t="s">
        <v>111</v>
      </c>
    </row>
  </sheetData>
  <mergeCells count="64">
    <mergeCell ref="A16:D16"/>
    <mergeCell ref="E16:E17"/>
    <mergeCell ref="A17:D17"/>
    <mergeCell ref="A53:B53"/>
    <mergeCell ref="A31:D31"/>
    <mergeCell ref="A32:B32"/>
    <mergeCell ref="A33:D33"/>
    <mergeCell ref="A34:B34"/>
    <mergeCell ref="A35:D35"/>
    <mergeCell ref="A36:D36"/>
    <mergeCell ref="A49:E49"/>
    <mergeCell ref="A47:D47"/>
    <mergeCell ref="A41:E41"/>
    <mergeCell ref="A18:D18"/>
    <mergeCell ref="A19:D19"/>
    <mergeCell ref="A39:D39"/>
    <mergeCell ref="A10:D10"/>
    <mergeCell ref="A11:D11"/>
    <mergeCell ref="A13:E13"/>
    <mergeCell ref="A15:E15"/>
    <mergeCell ref="A12:D12"/>
    <mergeCell ref="A1:E1"/>
    <mergeCell ref="A7:D7"/>
    <mergeCell ref="A8:D8"/>
    <mergeCell ref="A9:D9"/>
    <mergeCell ref="A4:D4"/>
    <mergeCell ref="A5:D5"/>
    <mergeCell ref="A6:D6"/>
    <mergeCell ref="A27:D27"/>
    <mergeCell ref="A23:D23"/>
    <mergeCell ref="A26:E26"/>
    <mergeCell ref="A24:D24"/>
    <mergeCell ref="A22:D22"/>
    <mergeCell ref="A66:D66"/>
    <mergeCell ref="A64:D64"/>
    <mergeCell ref="A65:D65"/>
    <mergeCell ref="A20:D20"/>
    <mergeCell ref="A37:B37"/>
    <mergeCell ref="A42:B42"/>
    <mergeCell ref="A43:B43"/>
    <mergeCell ref="A38:D38"/>
    <mergeCell ref="A44:B44"/>
    <mergeCell ref="A45:D45"/>
    <mergeCell ref="A52:D52"/>
    <mergeCell ref="A55:D55"/>
    <mergeCell ref="A51:E51"/>
    <mergeCell ref="A21:D21"/>
    <mergeCell ref="A30:E30"/>
    <mergeCell ref="A25:D25"/>
    <mergeCell ref="A63:D63"/>
    <mergeCell ref="A56:D56"/>
    <mergeCell ref="A58:E58"/>
    <mergeCell ref="A59:D59"/>
    <mergeCell ref="A62:E62"/>
    <mergeCell ref="A57:D57"/>
    <mergeCell ref="A76:D76"/>
    <mergeCell ref="A78:D78"/>
    <mergeCell ref="A75:D75"/>
    <mergeCell ref="A74:D74"/>
    <mergeCell ref="A68:D68"/>
    <mergeCell ref="A69:D69"/>
    <mergeCell ref="A70:D70"/>
    <mergeCell ref="A73:B73"/>
    <mergeCell ref="C73:D73"/>
  </mergeCells>
  <phoneticPr fontId="5" type="noConversion"/>
  <pageMargins left="0.49" right="0.26" top="0.39" bottom="0.21" header="0.37" footer="0.22"/>
  <pageSetup paperSize="9" scale="80" orientation="portrait" r:id="rId1"/>
  <headerFooter alignWithMargins="0"/>
  <rowBreaks count="1" manualBreakCount="1">
    <brk id="6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opLeftCell="A20" workbookViewId="0">
      <selection activeCell="E32" sqref="E32"/>
    </sheetView>
  </sheetViews>
  <sheetFormatPr defaultRowHeight="15.75" x14ac:dyDescent="0.25"/>
  <cols>
    <col min="1" max="1" width="18.5703125" style="1" customWidth="1"/>
    <col min="2" max="2" width="28" style="1" customWidth="1"/>
    <col min="3" max="3" width="21.140625" style="1" customWidth="1"/>
    <col min="4" max="4" width="21.7109375" style="1" customWidth="1"/>
    <col min="5" max="5" width="28.85546875" style="4" customWidth="1"/>
    <col min="6" max="6" width="9.140625" style="1"/>
    <col min="7" max="7" width="18.140625" style="1" customWidth="1"/>
    <col min="8" max="8" width="20.140625" style="1" customWidth="1"/>
    <col min="9" max="16384" width="9.140625" style="1"/>
  </cols>
  <sheetData>
    <row r="1" spans="1:7" ht="18.75" x14ac:dyDescent="0.3">
      <c r="A1" s="2" t="s">
        <v>0</v>
      </c>
      <c r="C1" s="2"/>
      <c r="D1" s="2"/>
      <c r="E1" s="8" t="s">
        <v>68</v>
      </c>
      <c r="G1" s="2"/>
    </row>
    <row r="3" spans="1:7" ht="66" customHeight="1" x14ac:dyDescent="0.25">
      <c r="A3" s="56" t="s">
        <v>26</v>
      </c>
      <c r="B3" s="56"/>
      <c r="C3" s="56"/>
      <c r="D3" s="56"/>
      <c r="E3" s="7" t="s">
        <v>51</v>
      </c>
    </row>
    <row r="4" spans="1:7" x14ac:dyDescent="0.25">
      <c r="A4" s="56" t="s">
        <v>27</v>
      </c>
      <c r="B4" s="56"/>
      <c r="C4" s="56"/>
      <c r="D4" s="56"/>
      <c r="E4" s="9">
        <v>20</v>
      </c>
    </row>
    <row r="5" spans="1:7" x14ac:dyDescent="0.25">
      <c r="A5" s="56" t="s">
        <v>28</v>
      </c>
      <c r="B5" s="56"/>
      <c r="C5" s="56"/>
      <c r="D5" s="56"/>
      <c r="E5" s="9">
        <v>2</v>
      </c>
    </row>
    <row r="6" spans="1:7" ht="18.75" customHeight="1" x14ac:dyDescent="0.25">
      <c r="A6" s="57" t="s">
        <v>29</v>
      </c>
      <c r="B6" s="57"/>
      <c r="C6" s="57"/>
      <c r="D6" s="57"/>
      <c r="E6" s="9">
        <v>9</v>
      </c>
    </row>
    <row r="7" spans="1:7" ht="17.25" customHeight="1" x14ac:dyDescent="0.25">
      <c r="A7" s="56" t="s">
        <v>6</v>
      </c>
      <c r="B7" s="56"/>
      <c r="C7" s="56"/>
      <c r="D7" s="56"/>
      <c r="E7" s="9">
        <v>45</v>
      </c>
    </row>
    <row r="8" spans="1:7" ht="17.25" customHeight="1" x14ac:dyDescent="0.25">
      <c r="A8" s="56" t="s">
        <v>30</v>
      </c>
      <c r="B8" s="56"/>
      <c r="C8" s="56"/>
      <c r="D8" s="56"/>
      <c r="E8" s="10">
        <f>ROUND(E7/60,2)</f>
        <v>0.75</v>
      </c>
    </row>
    <row r="9" spans="1:7" ht="34.5" customHeight="1" x14ac:dyDescent="0.25">
      <c r="A9" s="59" t="s">
        <v>31</v>
      </c>
      <c r="B9" s="60"/>
      <c r="C9" s="60"/>
      <c r="D9" s="61"/>
      <c r="E9" s="11">
        <v>160</v>
      </c>
    </row>
    <row r="10" spans="1:7" x14ac:dyDescent="0.25">
      <c r="A10" s="56" t="s">
        <v>32</v>
      </c>
      <c r="B10" s="56"/>
      <c r="C10" s="56"/>
      <c r="D10" s="56"/>
      <c r="E10" s="9">
        <v>8</v>
      </c>
    </row>
    <row r="13" spans="1:7" ht="15.75" customHeight="1" x14ac:dyDescent="0.3">
      <c r="A13" s="73" t="s">
        <v>53</v>
      </c>
      <c r="B13" s="73"/>
      <c r="C13" s="73"/>
      <c r="D13" s="73"/>
      <c r="E13" s="73"/>
    </row>
    <row r="14" spans="1:7" ht="15.75" customHeight="1" x14ac:dyDescent="0.3">
      <c r="A14" s="8"/>
      <c r="B14" s="8"/>
      <c r="C14" s="8"/>
      <c r="D14" s="8"/>
      <c r="E14" s="8"/>
    </row>
    <row r="15" spans="1:7" ht="23.25" customHeight="1" x14ac:dyDescent="0.25">
      <c r="A15" s="71" t="s">
        <v>16</v>
      </c>
      <c r="B15" s="71"/>
      <c r="C15" s="71"/>
      <c r="D15" s="71"/>
      <c r="E15" s="72"/>
    </row>
    <row r="16" spans="1:7" ht="36.75" customHeight="1" x14ac:dyDescent="0.25">
      <c r="A16" s="68" t="s">
        <v>52</v>
      </c>
      <c r="B16" s="69"/>
      <c r="C16" s="69"/>
      <c r="D16" s="70"/>
      <c r="E16" s="65">
        <v>4800</v>
      </c>
    </row>
    <row r="17" spans="1:7" ht="22.5" customHeight="1" x14ac:dyDescent="0.25">
      <c r="A17" s="62" t="s">
        <v>7</v>
      </c>
      <c r="B17" s="63"/>
      <c r="C17" s="63"/>
      <c r="D17" s="64"/>
      <c r="E17" s="66"/>
      <c r="F17" s="6"/>
    </row>
    <row r="18" spans="1:7" x14ac:dyDescent="0.25">
      <c r="A18" s="67" t="s">
        <v>8</v>
      </c>
      <c r="B18" s="67"/>
      <c r="C18" s="67"/>
      <c r="D18" s="67"/>
      <c r="E18" s="13">
        <f>0.13*E16</f>
        <v>624</v>
      </c>
      <c r="G18" s="6"/>
    </row>
    <row r="19" spans="1:7" x14ac:dyDescent="0.25">
      <c r="A19" s="58" t="s">
        <v>9</v>
      </c>
      <c r="B19" s="58"/>
      <c r="C19" s="58"/>
      <c r="D19" s="58"/>
      <c r="E19" s="13">
        <f>E16*0.042</f>
        <v>201.60000000000002</v>
      </c>
    </row>
    <row r="20" spans="1:7" x14ac:dyDescent="0.25">
      <c r="A20" s="58" t="s">
        <v>10</v>
      </c>
      <c r="B20" s="58"/>
      <c r="C20" s="58"/>
      <c r="D20" s="58"/>
      <c r="E20" s="14">
        <f>(E16+E18+E19)*0.15</f>
        <v>843.84</v>
      </c>
    </row>
    <row r="21" spans="1:7" x14ac:dyDescent="0.25">
      <c r="A21" s="74" t="s">
        <v>11</v>
      </c>
      <c r="B21" s="74"/>
      <c r="C21" s="74"/>
      <c r="D21" s="74"/>
      <c r="E21" s="15">
        <f>SUM(E16:E20)</f>
        <v>6469.4400000000005</v>
      </c>
    </row>
    <row r="22" spans="1:7" ht="33" customHeight="1" x14ac:dyDescent="0.25">
      <c r="A22" s="78" t="s">
        <v>12</v>
      </c>
      <c r="B22" s="79"/>
      <c r="C22" s="79"/>
      <c r="D22" s="80"/>
      <c r="E22" s="15">
        <f>E21/E9*E8*E5*E10</f>
        <v>485.20800000000008</v>
      </c>
    </row>
    <row r="23" spans="1:7" x14ac:dyDescent="0.25">
      <c r="A23" s="81"/>
      <c r="B23" s="81"/>
      <c r="C23" s="81"/>
      <c r="D23" s="81"/>
      <c r="E23" s="3"/>
    </row>
    <row r="24" spans="1:7" x14ac:dyDescent="0.25">
      <c r="A24" s="81"/>
      <c r="B24" s="81"/>
      <c r="C24" s="81"/>
      <c r="D24" s="81"/>
      <c r="E24" s="3"/>
    </row>
    <row r="25" spans="1:7" ht="24" customHeight="1" x14ac:dyDescent="0.25">
      <c r="A25" s="72" t="s">
        <v>17</v>
      </c>
      <c r="B25" s="72"/>
      <c r="C25" s="72"/>
      <c r="D25" s="72"/>
      <c r="E25" s="72"/>
    </row>
    <row r="26" spans="1:7" ht="35.25" customHeight="1" x14ac:dyDescent="0.25">
      <c r="A26" s="78" t="s">
        <v>13</v>
      </c>
      <c r="B26" s="79"/>
      <c r="C26" s="79"/>
      <c r="D26" s="80"/>
      <c r="E26" s="15">
        <f>E22*0.302</f>
        <v>146.53281600000003</v>
      </c>
    </row>
    <row r="27" spans="1:7" x14ac:dyDescent="0.25">
      <c r="E27" s="3"/>
    </row>
    <row r="29" spans="1:7" ht="21" customHeight="1" x14ac:dyDescent="0.25">
      <c r="A29" s="72" t="s">
        <v>21</v>
      </c>
      <c r="B29" s="72"/>
      <c r="C29" s="72"/>
      <c r="D29" s="72"/>
      <c r="E29" s="72"/>
    </row>
    <row r="30" spans="1:7" x14ac:dyDescent="0.25">
      <c r="A30" s="75" t="s">
        <v>56</v>
      </c>
      <c r="B30" s="76"/>
      <c r="C30" s="76"/>
      <c r="D30" s="77"/>
      <c r="E30" s="17">
        <v>1560</v>
      </c>
    </row>
    <row r="31" spans="1:7" x14ac:dyDescent="0.25">
      <c r="A31" s="75" t="s">
        <v>45</v>
      </c>
      <c r="B31" s="76"/>
      <c r="C31" s="76"/>
      <c r="D31" s="77"/>
      <c r="E31" s="15">
        <f>E30/E6</f>
        <v>173.33333333333334</v>
      </c>
    </row>
    <row r="32" spans="1:7" x14ac:dyDescent="0.25">
      <c r="A32" s="19"/>
      <c r="B32" s="19"/>
      <c r="C32" s="19"/>
      <c r="D32" s="19"/>
      <c r="E32" s="20"/>
    </row>
    <row r="34" spans="1:5" x14ac:dyDescent="0.25">
      <c r="A34" s="72" t="s">
        <v>22</v>
      </c>
      <c r="B34" s="72"/>
      <c r="C34" s="72"/>
      <c r="D34" s="72"/>
      <c r="E34" s="72"/>
    </row>
    <row r="35" spans="1:5" ht="50.25" customHeight="1" x14ac:dyDescent="0.25">
      <c r="A35" s="84" t="s">
        <v>40</v>
      </c>
      <c r="B35" s="84"/>
      <c r="C35" s="5" t="s">
        <v>24</v>
      </c>
      <c r="D35" s="5" t="s">
        <v>25</v>
      </c>
      <c r="E35" s="17" t="s">
        <v>23</v>
      </c>
    </row>
    <row r="36" spans="1:5" x14ac:dyDescent="0.25">
      <c r="A36" s="75" t="s">
        <v>19</v>
      </c>
      <c r="B36" s="77"/>
      <c r="C36" s="12">
        <v>12000</v>
      </c>
      <c r="D36" s="18">
        <v>84</v>
      </c>
      <c r="E36" s="14">
        <f>C36/D36/E9*E8*E5*E10</f>
        <v>10.714285714285715</v>
      </c>
    </row>
    <row r="37" spans="1:5" x14ac:dyDescent="0.25">
      <c r="A37" s="75" t="s">
        <v>57</v>
      </c>
      <c r="B37" s="77"/>
      <c r="C37" s="12">
        <v>34560</v>
      </c>
      <c r="D37" s="18">
        <v>84</v>
      </c>
      <c r="E37" s="14">
        <f>C37/D37/E9*E8*E5*E10</f>
        <v>30.857142857142861</v>
      </c>
    </row>
    <row r="38" spans="1:5" ht="15.75" customHeight="1" x14ac:dyDescent="0.25">
      <c r="A38" s="78" t="s">
        <v>44</v>
      </c>
      <c r="B38" s="79"/>
      <c r="C38" s="79"/>
      <c r="D38" s="80"/>
      <c r="E38" s="15">
        <f>E36+E37</f>
        <v>41.571428571428577</v>
      </c>
    </row>
    <row r="40" spans="1:5" ht="18.75" x14ac:dyDescent="0.3">
      <c r="A40" s="82" t="s">
        <v>54</v>
      </c>
      <c r="B40" s="83"/>
      <c r="C40" s="83"/>
      <c r="D40" s="83"/>
      <c r="E40" s="26">
        <f>E22+E26+E31+E38</f>
        <v>846.64557790476204</v>
      </c>
    </row>
    <row r="43" spans="1:5" ht="18.75" x14ac:dyDescent="0.3">
      <c r="A43" s="73" t="s">
        <v>55</v>
      </c>
      <c r="B43" s="73"/>
      <c r="C43" s="73"/>
      <c r="D43" s="73"/>
      <c r="E43" s="73"/>
    </row>
    <row r="44" spans="1:5" ht="18.75" x14ac:dyDescent="0.3">
      <c r="A44" s="8"/>
      <c r="B44" s="8"/>
      <c r="C44" s="8"/>
      <c r="D44" s="8"/>
      <c r="E44" s="8"/>
    </row>
    <row r="45" spans="1:5" x14ac:dyDescent="0.25">
      <c r="A45" s="71" t="s">
        <v>33</v>
      </c>
      <c r="B45" s="71"/>
      <c r="C45" s="71"/>
      <c r="D45" s="71"/>
      <c r="E45" s="72"/>
    </row>
    <row r="46" spans="1:5" ht="45.75" customHeight="1" x14ac:dyDescent="0.25">
      <c r="A46" s="75" t="s">
        <v>34</v>
      </c>
      <c r="B46" s="76"/>
      <c r="C46" s="76"/>
      <c r="D46" s="77"/>
      <c r="E46" s="13">
        <v>27.4</v>
      </c>
    </row>
    <row r="47" spans="1:5" x14ac:dyDescent="0.25">
      <c r="A47" s="58" t="s">
        <v>35</v>
      </c>
      <c r="B47" s="58"/>
      <c r="C47" s="58"/>
      <c r="D47" s="58"/>
      <c r="E47" s="15">
        <f>E22*E46%</f>
        <v>132.94699199999999</v>
      </c>
    </row>
    <row r="48" spans="1:5" x14ac:dyDescent="0.25">
      <c r="A48" s="81"/>
      <c r="B48" s="81"/>
      <c r="C48" s="81"/>
      <c r="D48" s="81"/>
      <c r="E48" s="3"/>
    </row>
    <row r="49" spans="1:5" x14ac:dyDescent="0.25">
      <c r="A49" s="81"/>
      <c r="B49" s="81"/>
      <c r="C49" s="81"/>
      <c r="D49" s="81"/>
      <c r="E49" s="3"/>
    </row>
    <row r="50" spans="1:5" x14ac:dyDescent="0.25">
      <c r="A50" s="72" t="s">
        <v>17</v>
      </c>
      <c r="B50" s="72"/>
      <c r="C50" s="72"/>
      <c r="D50" s="72"/>
      <c r="E50" s="72"/>
    </row>
    <row r="51" spans="1:5" x14ac:dyDescent="0.25">
      <c r="A51" s="78" t="s">
        <v>36</v>
      </c>
      <c r="B51" s="79"/>
      <c r="C51" s="79"/>
      <c r="D51" s="80"/>
      <c r="E51" s="15">
        <f>E47*0.302</f>
        <v>40.149991583999999</v>
      </c>
    </row>
    <row r="54" spans="1:5" x14ac:dyDescent="0.25">
      <c r="A54" s="72" t="s">
        <v>37</v>
      </c>
      <c r="B54" s="72"/>
      <c r="C54" s="72"/>
      <c r="D54" s="72"/>
      <c r="E54" s="72"/>
    </row>
    <row r="55" spans="1:5" ht="15.75" customHeight="1" x14ac:dyDescent="0.25">
      <c r="A55" s="78" t="s">
        <v>39</v>
      </c>
      <c r="B55" s="79"/>
      <c r="C55" s="79"/>
      <c r="D55" s="80"/>
      <c r="E55" s="16" t="s">
        <v>38</v>
      </c>
    </row>
    <row r="56" spans="1:5" ht="15.75" customHeight="1" x14ac:dyDescent="0.25">
      <c r="A56" s="75" t="s">
        <v>2</v>
      </c>
      <c r="B56" s="76"/>
      <c r="C56" s="76"/>
      <c r="D56" s="77"/>
      <c r="E56" s="17">
        <v>15500</v>
      </c>
    </row>
    <row r="57" spans="1:5" ht="15.75" customHeight="1" x14ac:dyDescent="0.25">
      <c r="A57" s="75" t="s">
        <v>3</v>
      </c>
      <c r="B57" s="76"/>
      <c r="C57" s="76"/>
      <c r="D57" s="77"/>
      <c r="E57" s="17">
        <v>3000</v>
      </c>
    </row>
    <row r="58" spans="1:5" ht="33" customHeight="1" x14ac:dyDescent="0.25">
      <c r="A58" s="75" t="s">
        <v>69</v>
      </c>
      <c r="B58" s="76"/>
      <c r="C58" s="76"/>
      <c r="D58" s="77"/>
      <c r="E58" s="23">
        <v>6000</v>
      </c>
    </row>
    <row r="59" spans="1:5" ht="15.75" customHeight="1" x14ac:dyDescent="0.25">
      <c r="A59" s="75" t="s">
        <v>4</v>
      </c>
      <c r="B59" s="76"/>
      <c r="C59" s="76"/>
      <c r="D59" s="77"/>
      <c r="E59" s="23">
        <v>9000</v>
      </c>
    </row>
    <row r="60" spans="1:5" ht="15.75" customHeight="1" x14ac:dyDescent="0.25">
      <c r="A60" s="75" t="s">
        <v>42</v>
      </c>
      <c r="B60" s="76"/>
      <c r="C60" s="76"/>
      <c r="D60" s="77"/>
      <c r="E60" s="24">
        <f>SUM(E56:E59)</f>
        <v>33500</v>
      </c>
    </row>
    <row r="61" spans="1:5" x14ac:dyDescent="0.25">
      <c r="A61" s="75" t="s">
        <v>43</v>
      </c>
      <c r="B61" s="76"/>
      <c r="C61" s="76"/>
      <c r="D61" s="77"/>
      <c r="E61" s="24">
        <f>E60/9/E9*E8*E5*E10</f>
        <v>279.16666666666669</v>
      </c>
    </row>
    <row r="63" spans="1:5" ht="18.75" x14ac:dyDescent="0.3">
      <c r="A63" s="82" t="s">
        <v>46</v>
      </c>
      <c r="B63" s="83"/>
      <c r="C63" s="83"/>
      <c r="D63" s="88"/>
      <c r="E63" s="22">
        <f>E61+E47+E51</f>
        <v>452.26365025066667</v>
      </c>
    </row>
    <row r="64" spans="1:5" ht="34.5" customHeight="1" x14ac:dyDescent="0.3">
      <c r="A64" s="82" t="s">
        <v>47</v>
      </c>
      <c r="B64" s="83"/>
      <c r="C64" s="83"/>
      <c r="D64" s="88"/>
      <c r="E64" s="22">
        <f>ROUND(E40/E63,2)</f>
        <v>1.87</v>
      </c>
    </row>
    <row r="65" spans="1:5" ht="18.75" x14ac:dyDescent="0.3">
      <c r="A65" s="85" t="s">
        <v>48</v>
      </c>
      <c r="B65" s="86"/>
      <c r="C65" s="86"/>
      <c r="D65" s="87"/>
      <c r="E65" s="27">
        <f>ROUND(E40*E64%,2)</f>
        <v>15.83</v>
      </c>
    </row>
    <row r="67" spans="1:5" ht="18.75" customHeight="1" x14ac:dyDescent="0.25"/>
    <row r="68" spans="1:5" ht="18.75" customHeight="1" x14ac:dyDescent="0.3">
      <c r="A68" s="85" t="s">
        <v>64</v>
      </c>
      <c r="B68" s="86"/>
      <c r="C68" s="89" t="str">
        <f>E1</f>
        <v>Обучение игре на гитаре</v>
      </c>
      <c r="D68" s="90"/>
      <c r="E68" s="28">
        <f>E40+E65</f>
        <v>862.47557790476208</v>
      </c>
    </row>
    <row r="69" spans="1:5" ht="28.5" customHeight="1" x14ac:dyDescent="0.3">
      <c r="A69" s="85" t="s">
        <v>49</v>
      </c>
      <c r="B69" s="86"/>
      <c r="C69" s="86"/>
      <c r="D69" s="87"/>
      <c r="E69" s="28">
        <f>E68/(E5*E10)</f>
        <v>53.90472361904763</v>
      </c>
    </row>
    <row r="70" spans="1:5" ht="18.75" x14ac:dyDescent="0.3">
      <c r="A70" s="85" t="s">
        <v>50</v>
      </c>
      <c r="B70" s="86"/>
      <c r="C70" s="86"/>
      <c r="D70" s="87"/>
      <c r="E70" s="28">
        <f>E69*E10</f>
        <v>431.23778895238104</v>
      </c>
    </row>
  </sheetData>
  <mergeCells count="54">
    <mergeCell ref="A9:D9"/>
    <mergeCell ref="A17:D17"/>
    <mergeCell ref="E16:E17"/>
    <mergeCell ref="A3:D3"/>
    <mergeCell ref="A4:D4"/>
    <mergeCell ref="A5:D5"/>
    <mergeCell ref="A7:D7"/>
    <mergeCell ref="A6:D6"/>
    <mergeCell ref="A8:D8"/>
    <mergeCell ref="A30:D30"/>
    <mergeCell ref="A31:D31"/>
    <mergeCell ref="A22:D22"/>
    <mergeCell ref="A23:D23"/>
    <mergeCell ref="A29:E29"/>
    <mergeCell ref="A24:D24"/>
    <mergeCell ref="A18:D18"/>
    <mergeCell ref="A10:D10"/>
    <mergeCell ref="A16:D16"/>
    <mergeCell ref="A26:D26"/>
    <mergeCell ref="A25:E25"/>
    <mergeCell ref="A15:E15"/>
    <mergeCell ref="A19:D19"/>
    <mergeCell ref="A21:D21"/>
    <mergeCell ref="A20:D20"/>
    <mergeCell ref="A13:E13"/>
    <mergeCell ref="A34:E34"/>
    <mergeCell ref="A38:D38"/>
    <mergeCell ref="A45:E45"/>
    <mergeCell ref="A46:D46"/>
    <mergeCell ref="A35:B35"/>
    <mergeCell ref="A36:B36"/>
    <mergeCell ref="A37:B37"/>
    <mergeCell ref="A43:E43"/>
    <mergeCell ref="A40:D40"/>
    <mergeCell ref="A47:D47"/>
    <mergeCell ref="A48:D48"/>
    <mergeCell ref="A49:D49"/>
    <mergeCell ref="A50:E50"/>
    <mergeCell ref="A57:D57"/>
    <mergeCell ref="A51:D51"/>
    <mergeCell ref="A58:D58"/>
    <mergeCell ref="A56:D56"/>
    <mergeCell ref="A54:E54"/>
    <mergeCell ref="A55:D55"/>
    <mergeCell ref="A61:D61"/>
    <mergeCell ref="A63:D63"/>
    <mergeCell ref="A60:D60"/>
    <mergeCell ref="A59:D59"/>
    <mergeCell ref="A70:D70"/>
    <mergeCell ref="A64:D64"/>
    <mergeCell ref="A65:D65"/>
    <mergeCell ref="A69:D69"/>
    <mergeCell ref="A68:B68"/>
    <mergeCell ref="C68:D68"/>
  </mergeCells>
  <phoneticPr fontId="0" type="noConversion"/>
  <pageMargins left="0.22" right="0.26" top="1" bottom="1" header="0.5" footer="0.5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opLeftCell="A25" workbookViewId="0">
      <selection activeCell="A70" sqref="A70:B70"/>
    </sheetView>
  </sheetViews>
  <sheetFormatPr defaultRowHeight="15.75" x14ac:dyDescent="0.25"/>
  <cols>
    <col min="1" max="1" width="18.5703125" style="1" customWidth="1"/>
    <col min="2" max="2" width="31" style="1" customWidth="1"/>
    <col min="3" max="3" width="21.140625" style="1" customWidth="1"/>
    <col min="4" max="4" width="21.7109375" style="1" customWidth="1"/>
    <col min="5" max="5" width="28.85546875" style="4" customWidth="1"/>
    <col min="6" max="6" width="9.140625" style="1"/>
    <col min="7" max="7" width="18.140625" style="1" customWidth="1"/>
    <col min="8" max="8" width="20.140625" style="1" customWidth="1"/>
    <col min="9" max="16384" width="9.140625" style="1"/>
  </cols>
  <sheetData>
    <row r="1" spans="1:7" ht="18.75" x14ac:dyDescent="0.3">
      <c r="A1" s="2" t="s">
        <v>0</v>
      </c>
      <c r="C1" s="2"/>
      <c r="D1" s="2"/>
      <c r="E1" s="21" t="s">
        <v>65</v>
      </c>
      <c r="G1" s="2"/>
    </row>
    <row r="3" spans="1:7" ht="66" customHeight="1" x14ac:dyDescent="0.25">
      <c r="A3" s="56" t="s">
        <v>26</v>
      </c>
      <c r="B3" s="56"/>
      <c r="C3" s="56"/>
      <c r="D3" s="56"/>
      <c r="E3" s="7" t="s">
        <v>51</v>
      </c>
    </row>
    <row r="4" spans="1:7" x14ac:dyDescent="0.25">
      <c r="A4" s="56" t="s">
        <v>27</v>
      </c>
      <c r="B4" s="56"/>
      <c r="C4" s="56"/>
      <c r="D4" s="56"/>
      <c r="E4" s="9">
        <v>88</v>
      </c>
    </row>
    <row r="5" spans="1:7" x14ac:dyDescent="0.25">
      <c r="A5" s="56" t="s">
        <v>28</v>
      </c>
      <c r="B5" s="56"/>
      <c r="C5" s="56"/>
      <c r="D5" s="56"/>
      <c r="E5" s="9">
        <v>4</v>
      </c>
    </row>
    <row r="6" spans="1:7" ht="18.75" customHeight="1" x14ac:dyDescent="0.25">
      <c r="A6" s="57" t="s">
        <v>29</v>
      </c>
      <c r="B6" s="57"/>
      <c r="C6" s="57"/>
      <c r="D6" s="57"/>
      <c r="E6" s="9">
        <v>9</v>
      </c>
    </row>
    <row r="7" spans="1:7" ht="17.25" customHeight="1" x14ac:dyDescent="0.25">
      <c r="A7" s="56" t="s">
        <v>6</v>
      </c>
      <c r="B7" s="56"/>
      <c r="C7" s="56"/>
      <c r="D7" s="56"/>
      <c r="E7" s="9">
        <v>40</v>
      </c>
    </row>
    <row r="8" spans="1:7" ht="17.25" customHeight="1" x14ac:dyDescent="0.25">
      <c r="A8" s="56" t="s">
        <v>30</v>
      </c>
      <c r="B8" s="56"/>
      <c r="C8" s="56"/>
      <c r="D8" s="56"/>
      <c r="E8" s="10">
        <f>ROUND(E7/60,2)</f>
        <v>0.67</v>
      </c>
    </row>
    <row r="9" spans="1:7" ht="34.5" customHeight="1" x14ac:dyDescent="0.25">
      <c r="A9" s="59" t="s">
        <v>31</v>
      </c>
      <c r="B9" s="60"/>
      <c r="C9" s="60"/>
      <c r="D9" s="61"/>
      <c r="E9" s="11">
        <v>160</v>
      </c>
    </row>
    <row r="10" spans="1:7" x14ac:dyDescent="0.25">
      <c r="A10" s="56" t="s">
        <v>32</v>
      </c>
      <c r="B10" s="56"/>
      <c r="C10" s="56"/>
      <c r="D10" s="56"/>
      <c r="E10" s="9">
        <v>8</v>
      </c>
    </row>
    <row r="13" spans="1:7" ht="15.75" customHeight="1" x14ac:dyDescent="0.3">
      <c r="A13" s="73" t="s">
        <v>53</v>
      </c>
      <c r="B13" s="73"/>
      <c r="C13" s="73"/>
      <c r="D13" s="73"/>
      <c r="E13" s="73"/>
    </row>
    <row r="14" spans="1:7" ht="15.75" customHeight="1" x14ac:dyDescent="0.3">
      <c r="A14" s="8"/>
      <c r="B14" s="8"/>
      <c r="C14" s="8"/>
      <c r="D14" s="8"/>
      <c r="E14" s="8"/>
    </row>
    <row r="15" spans="1:7" x14ac:dyDescent="0.25">
      <c r="A15" s="71" t="s">
        <v>16</v>
      </c>
      <c r="B15" s="71"/>
      <c r="C15" s="71"/>
      <c r="D15" s="71"/>
      <c r="E15" s="72"/>
    </row>
    <row r="16" spans="1:7" ht="36.75" customHeight="1" x14ac:dyDescent="0.25">
      <c r="A16" s="68" t="s">
        <v>52</v>
      </c>
      <c r="B16" s="69"/>
      <c r="C16" s="69"/>
      <c r="D16" s="70"/>
      <c r="E16" s="65">
        <v>4800</v>
      </c>
    </row>
    <row r="17" spans="1:7" ht="22.5" customHeight="1" x14ac:dyDescent="0.25">
      <c r="A17" s="62" t="s">
        <v>7</v>
      </c>
      <c r="B17" s="63"/>
      <c r="C17" s="63"/>
      <c r="D17" s="64"/>
      <c r="E17" s="66"/>
      <c r="F17" s="6"/>
    </row>
    <row r="18" spans="1:7" x14ac:dyDescent="0.25">
      <c r="A18" s="67" t="s">
        <v>8</v>
      </c>
      <c r="B18" s="67"/>
      <c r="C18" s="67"/>
      <c r="D18" s="67"/>
      <c r="E18" s="13">
        <f>0.13*E16</f>
        <v>624</v>
      </c>
      <c r="G18" s="6"/>
    </row>
    <row r="19" spans="1:7" x14ac:dyDescent="0.25">
      <c r="A19" s="58" t="s">
        <v>9</v>
      </c>
      <c r="B19" s="58"/>
      <c r="C19" s="58"/>
      <c r="D19" s="58"/>
      <c r="E19" s="13">
        <f>E16*0.042</f>
        <v>201.60000000000002</v>
      </c>
    </row>
    <row r="20" spans="1:7" x14ac:dyDescent="0.25">
      <c r="A20" s="58" t="s">
        <v>10</v>
      </c>
      <c r="B20" s="58"/>
      <c r="C20" s="58"/>
      <c r="D20" s="58"/>
      <c r="E20" s="14">
        <f>(E16+E18+E19)*0.15</f>
        <v>843.84</v>
      </c>
    </row>
    <row r="21" spans="1:7" x14ac:dyDescent="0.25">
      <c r="A21" s="74" t="s">
        <v>11</v>
      </c>
      <c r="B21" s="74"/>
      <c r="C21" s="74"/>
      <c r="D21" s="74"/>
      <c r="E21" s="15">
        <f>SUM(E16:E20)</f>
        <v>6469.4400000000005</v>
      </c>
    </row>
    <row r="22" spans="1:7" ht="33" customHeight="1" x14ac:dyDescent="0.25">
      <c r="A22" s="78" t="s">
        <v>12</v>
      </c>
      <c r="B22" s="79"/>
      <c r="C22" s="79"/>
      <c r="D22" s="80"/>
      <c r="E22" s="15">
        <f>E21/E9*E8*E5*E10</f>
        <v>866.90496000000019</v>
      </c>
    </row>
    <row r="23" spans="1:7" x14ac:dyDescent="0.25">
      <c r="A23" s="81"/>
      <c r="B23" s="81"/>
      <c r="C23" s="81"/>
      <c r="D23" s="81"/>
      <c r="E23" s="3"/>
    </row>
    <row r="24" spans="1:7" x14ac:dyDescent="0.25">
      <c r="A24" s="81"/>
      <c r="B24" s="81"/>
      <c r="C24" s="81"/>
      <c r="D24" s="81"/>
      <c r="E24" s="3"/>
    </row>
    <row r="25" spans="1:7" x14ac:dyDescent="0.25">
      <c r="A25" s="72" t="s">
        <v>17</v>
      </c>
      <c r="B25" s="72"/>
      <c r="C25" s="72"/>
      <c r="D25" s="72"/>
      <c r="E25" s="72"/>
    </row>
    <row r="26" spans="1:7" ht="35.25" customHeight="1" x14ac:dyDescent="0.25">
      <c r="A26" s="78" t="s">
        <v>13</v>
      </c>
      <c r="B26" s="79"/>
      <c r="C26" s="79"/>
      <c r="D26" s="80"/>
      <c r="E26" s="15">
        <f>E22*0.302</f>
        <v>261.80529792000004</v>
      </c>
    </row>
    <row r="27" spans="1:7" x14ac:dyDescent="0.25">
      <c r="E27" s="3"/>
    </row>
    <row r="29" spans="1:7" ht="16.5" customHeight="1" x14ac:dyDescent="0.25">
      <c r="A29" s="72" t="s">
        <v>21</v>
      </c>
      <c r="B29" s="72"/>
      <c r="C29" s="72"/>
      <c r="D29" s="72"/>
      <c r="E29" s="72"/>
    </row>
    <row r="30" spans="1:7" ht="21" customHeight="1" x14ac:dyDescent="0.25">
      <c r="A30" s="75" t="s">
        <v>14</v>
      </c>
      <c r="B30" s="76"/>
      <c r="C30" s="76"/>
      <c r="D30" s="77"/>
      <c r="E30" s="25">
        <v>3</v>
      </c>
    </row>
    <row r="31" spans="1:7" x14ac:dyDescent="0.25">
      <c r="A31" s="75" t="s">
        <v>15</v>
      </c>
      <c r="B31" s="76"/>
      <c r="C31" s="76"/>
      <c r="D31" s="77"/>
      <c r="E31" s="17">
        <v>2000</v>
      </c>
    </row>
    <row r="32" spans="1:7" x14ac:dyDescent="0.25">
      <c r="A32" s="75" t="s">
        <v>45</v>
      </c>
      <c r="B32" s="76"/>
      <c r="C32" s="76"/>
      <c r="D32" s="77"/>
      <c r="E32" s="15">
        <f>E31/E6/E30</f>
        <v>74.074074074074076</v>
      </c>
    </row>
    <row r="33" spans="1:5" x14ac:dyDescent="0.25">
      <c r="A33" s="19"/>
      <c r="B33" s="19"/>
      <c r="C33" s="19"/>
      <c r="D33" s="19"/>
      <c r="E33" s="20"/>
    </row>
    <row r="35" spans="1:5" x14ac:dyDescent="0.25">
      <c r="A35" s="72" t="s">
        <v>22</v>
      </c>
      <c r="B35" s="72"/>
      <c r="C35" s="72"/>
      <c r="D35" s="72"/>
      <c r="E35" s="72"/>
    </row>
    <row r="36" spans="1:5" ht="50.25" customHeight="1" x14ac:dyDescent="0.25">
      <c r="A36" s="84" t="s">
        <v>40</v>
      </c>
      <c r="B36" s="84"/>
      <c r="C36" s="5" t="s">
        <v>24</v>
      </c>
      <c r="D36" s="5" t="s">
        <v>25</v>
      </c>
      <c r="E36" s="17" t="s">
        <v>23</v>
      </c>
    </row>
    <row r="37" spans="1:5" ht="15.75" customHeight="1" x14ac:dyDescent="0.25">
      <c r="A37" s="75" t="s">
        <v>66</v>
      </c>
      <c r="B37" s="77"/>
      <c r="C37" s="12">
        <v>4400</v>
      </c>
      <c r="D37" s="18">
        <v>12</v>
      </c>
      <c r="E37" s="14">
        <f>C37/D37/E9*E8*E5*E10</f>
        <v>49.13333333333334</v>
      </c>
    </row>
    <row r="38" spans="1:5" x14ac:dyDescent="0.25">
      <c r="A38" s="75" t="s">
        <v>19</v>
      </c>
      <c r="B38" s="77"/>
      <c r="C38" s="12">
        <v>13990</v>
      </c>
      <c r="D38" s="18">
        <v>84</v>
      </c>
      <c r="E38" s="14">
        <f>C38/D38/E9*E8*E5*E10</f>
        <v>22.317380952380955</v>
      </c>
    </row>
    <row r="39" spans="1:5" x14ac:dyDescent="0.25">
      <c r="A39" s="75" t="s">
        <v>67</v>
      </c>
      <c r="B39" s="77"/>
      <c r="C39" s="12">
        <v>329760</v>
      </c>
      <c r="D39" s="18">
        <v>84</v>
      </c>
      <c r="E39" s="14">
        <f>C39/D39/E9*E8*E5*E10</f>
        <v>526.04571428571433</v>
      </c>
    </row>
    <row r="40" spans="1:5" ht="15.75" customHeight="1" x14ac:dyDescent="0.25">
      <c r="A40" s="78" t="s">
        <v>44</v>
      </c>
      <c r="B40" s="79"/>
      <c r="C40" s="79"/>
      <c r="D40" s="80"/>
      <c r="E40" s="15">
        <f>E37+E38+E39</f>
        <v>597.49642857142862</v>
      </c>
    </row>
    <row r="42" spans="1:5" ht="18.75" x14ac:dyDescent="0.3">
      <c r="A42" s="82" t="s">
        <v>54</v>
      </c>
      <c r="B42" s="83"/>
      <c r="C42" s="83"/>
      <c r="D42" s="83"/>
      <c r="E42" s="26">
        <f>E22+E26+E32+E40</f>
        <v>1800.280760565503</v>
      </c>
    </row>
    <row r="45" spans="1:5" ht="18.75" x14ac:dyDescent="0.3">
      <c r="A45" s="73" t="s">
        <v>55</v>
      </c>
      <c r="B45" s="73"/>
      <c r="C45" s="73"/>
      <c r="D45" s="73"/>
      <c r="E45" s="73"/>
    </row>
    <row r="46" spans="1:5" ht="18.75" x14ac:dyDescent="0.3">
      <c r="A46" s="8"/>
      <c r="B46" s="8"/>
      <c r="C46" s="8"/>
      <c r="D46" s="8"/>
      <c r="E46" s="8"/>
    </row>
    <row r="47" spans="1:5" x14ac:dyDescent="0.25">
      <c r="A47" s="71" t="s">
        <v>33</v>
      </c>
      <c r="B47" s="71"/>
      <c r="C47" s="71"/>
      <c r="D47" s="71"/>
      <c r="E47" s="72"/>
    </row>
    <row r="48" spans="1:5" ht="45.75" customHeight="1" x14ac:dyDescent="0.25">
      <c r="A48" s="75" t="s">
        <v>34</v>
      </c>
      <c r="B48" s="76"/>
      <c r="C48" s="76"/>
      <c r="D48" s="77"/>
      <c r="E48" s="13">
        <v>27.4</v>
      </c>
    </row>
    <row r="49" spans="1:5" x14ac:dyDescent="0.25">
      <c r="A49" s="58" t="s">
        <v>35</v>
      </c>
      <c r="B49" s="58"/>
      <c r="C49" s="58"/>
      <c r="D49" s="58"/>
      <c r="E49" s="15">
        <f>E22*E48%</f>
        <v>237.53195904000003</v>
      </c>
    </row>
    <row r="50" spans="1:5" x14ac:dyDescent="0.25">
      <c r="A50" s="81"/>
      <c r="B50" s="81"/>
      <c r="C50" s="81"/>
      <c r="D50" s="81"/>
      <c r="E50" s="3"/>
    </row>
    <row r="51" spans="1:5" x14ac:dyDescent="0.25">
      <c r="A51" s="81"/>
      <c r="B51" s="81"/>
      <c r="C51" s="81"/>
      <c r="D51" s="81"/>
      <c r="E51" s="3"/>
    </row>
    <row r="52" spans="1:5" x14ac:dyDescent="0.25">
      <c r="A52" s="72" t="s">
        <v>17</v>
      </c>
      <c r="B52" s="72"/>
      <c r="C52" s="72"/>
      <c r="D52" s="72"/>
      <c r="E52" s="72"/>
    </row>
    <row r="53" spans="1:5" x14ac:dyDescent="0.25">
      <c r="A53" s="78" t="s">
        <v>36</v>
      </c>
      <c r="B53" s="79"/>
      <c r="C53" s="79"/>
      <c r="D53" s="80"/>
      <c r="E53" s="15">
        <f>E49*0.302</f>
        <v>71.734651630080009</v>
      </c>
    </row>
    <row r="56" spans="1:5" x14ac:dyDescent="0.25">
      <c r="A56" s="72" t="s">
        <v>37</v>
      </c>
      <c r="B56" s="72"/>
      <c r="C56" s="72"/>
      <c r="D56" s="72"/>
      <c r="E56" s="72"/>
    </row>
    <row r="57" spans="1:5" ht="15.75" customHeight="1" x14ac:dyDescent="0.25">
      <c r="A57" s="78" t="s">
        <v>39</v>
      </c>
      <c r="B57" s="79"/>
      <c r="C57" s="79"/>
      <c r="D57" s="80"/>
      <c r="E57" s="16" t="s">
        <v>38</v>
      </c>
    </row>
    <row r="58" spans="1:5" ht="15.75" customHeight="1" x14ac:dyDescent="0.25">
      <c r="A58" s="75" t="s">
        <v>2</v>
      </c>
      <c r="B58" s="76"/>
      <c r="C58" s="76"/>
      <c r="D58" s="77"/>
      <c r="E58" s="17">
        <v>15500</v>
      </c>
    </row>
    <row r="59" spans="1:5" ht="15.75" customHeight="1" x14ac:dyDescent="0.25">
      <c r="A59" s="75" t="s">
        <v>3</v>
      </c>
      <c r="B59" s="76"/>
      <c r="C59" s="76"/>
      <c r="D59" s="77"/>
      <c r="E59" s="17">
        <v>3000</v>
      </c>
    </row>
    <row r="60" spans="1:5" x14ac:dyDescent="0.25">
      <c r="A60" s="75" t="s">
        <v>4</v>
      </c>
      <c r="B60" s="76"/>
      <c r="C60" s="76"/>
      <c r="D60" s="77"/>
      <c r="E60" s="23">
        <v>9000</v>
      </c>
    </row>
    <row r="61" spans="1:5" ht="31.5" customHeight="1" x14ac:dyDescent="0.25">
      <c r="A61" s="75" t="s">
        <v>5</v>
      </c>
      <c r="B61" s="76"/>
      <c r="C61" s="76"/>
      <c r="D61" s="77"/>
      <c r="E61" s="23">
        <v>13820</v>
      </c>
    </row>
    <row r="62" spans="1:5" x14ac:dyDescent="0.25">
      <c r="A62" s="75" t="s">
        <v>42</v>
      </c>
      <c r="B62" s="76"/>
      <c r="C62" s="76"/>
      <c r="D62" s="77"/>
      <c r="E62" s="24">
        <f>SUM(E58:E61)</f>
        <v>41320</v>
      </c>
    </row>
    <row r="63" spans="1:5" x14ac:dyDescent="0.25">
      <c r="A63" s="75" t="s">
        <v>43</v>
      </c>
      <c r="B63" s="76"/>
      <c r="C63" s="76"/>
      <c r="D63" s="77"/>
      <c r="E63" s="24">
        <f>E62/9/E9*E8*E5*E10</f>
        <v>615.20888888888896</v>
      </c>
    </row>
    <row r="65" spans="1:5" ht="18.75" x14ac:dyDescent="0.3">
      <c r="A65" s="82" t="s">
        <v>46</v>
      </c>
      <c r="B65" s="83"/>
      <c r="C65" s="83"/>
      <c r="D65" s="88"/>
      <c r="E65" s="22">
        <f>E63+E49+E53</f>
        <v>924.47549955896898</v>
      </c>
    </row>
    <row r="66" spans="1:5" ht="18.75" x14ac:dyDescent="0.3">
      <c r="A66" s="82" t="s">
        <v>47</v>
      </c>
      <c r="B66" s="83"/>
      <c r="C66" s="83"/>
      <c r="D66" s="88"/>
      <c r="E66" s="22">
        <f>ROUND(E42/E65,2)</f>
        <v>1.95</v>
      </c>
    </row>
    <row r="67" spans="1:5" ht="34.5" customHeight="1" x14ac:dyDescent="0.3">
      <c r="A67" s="85" t="s">
        <v>48</v>
      </c>
      <c r="B67" s="86"/>
      <c r="C67" s="86"/>
      <c r="D67" s="87"/>
      <c r="E67" s="27">
        <f>ROUND(E42*E66%,2)</f>
        <v>35.11</v>
      </c>
    </row>
    <row r="70" spans="1:5" ht="18.75" customHeight="1" x14ac:dyDescent="0.3">
      <c r="A70" s="85" t="s">
        <v>64</v>
      </c>
      <c r="B70" s="86"/>
      <c r="C70" s="89" t="str">
        <f>E1</f>
        <v>Аэробика</v>
      </c>
      <c r="D70" s="90"/>
      <c r="E70" s="28">
        <f>E42+E67</f>
        <v>1835.3907605655029</v>
      </c>
    </row>
    <row r="71" spans="1:5" ht="18.75" x14ac:dyDescent="0.3">
      <c r="A71" s="85" t="s">
        <v>49</v>
      </c>
      <c r="B71" s="86"/>
      <c r="C71" s="86"/>
      <c r="D71" s="87"/>
      <c r="E71" s="28">
        <f>E70/(E5*E10)</f>
        <v>57.355961267671965</v>
      </c>
    </row>
    <row r="72" spans="1:5" ht="28.5" customHeight="1" x14ac:dyDescent="0.3">
      <c r="A72" s="85" t="s">
        <v>50</v>
      </c>
      <c r="B72" s="86"/>
      <c r="C72" s="86"/>
      <c r="D72" s="87"/>
      <c r="E72" s="28">
        <f>E71*E10</f>
        <v>458.84769014137572</v>
      </c>
    </row>
  </sheetData>
  <mergeCells count="56">
    <mergeCell ref="A72:D72"/>
    <mergeCell ref="A70:B70"/>
    <mergeCell ref="C70:D70"/>
    <mergeCell ref="A66:D66"/>
    <mergeCell ref="A67:D67"/>
    <mergeCell ref="A71:D71"/>
    <mergeCell ref="A65:D65"/>
    <mergeCell ref="A49:D49"/>
    <mergeCell ref="A60:D60"/>
    <mergeCell ref="A61:D61"/>
    <mergeCell ref="A62:D62"/>
    <mergeCell ref="A50:D50"/>
    <mergeCell ref="A51:D51"/>
    <mergeCell ref="A52:E52"/>
    <mergeCell ref="A59:D59"/>
    <mergeCell ref="A53:D53"/>
    <mergeCell ref="A47:E47"/>
    <mergeCell ref="A48:D48"/>
    <mergeCell ref="A63:D63"/>
    <mergeCell ref="A56:E56"/>
    <mergeCell ref="A57:D57"/>
    <mergeCell ref="A58:D58"/>
    <mergeCell ref="A40:D40"/>
    <mergeCell ref="A45:E45"/>
    <mergeCell ref="A42:D42"/>
    <mergeCell ref="A36:B36"/>
    <mergeCell ref="A37:B37"/>
    <mergeCell ref="A38:B38"/>
    <mergeCell ref="A39:B39"/>
    <mergeCell ref="A8:D8"/>
    <mergeCell ref="A9:D9"/>
    <mergeCell ref="A17:D17"/>
    <mergeCell ref="A35:E35"/>
    <mergeCell ref="A30:D30"/>
    <mergeCell ref="A20:D20"/>
    <mergeCell ref="A31:D31"/>
    <mergeCell ref="A32:D32"/>
    <mergeCell ref="A22:D22"/>
    <mergeCell ref="A23:D23"/>
    <mergeCell ref="A15:E15"/>
    <mergeCell ref="A13:E13"/>
    <mergeCell ref="E16:E17"/>
    <mergeCell ref="A24:D24"/>
    <mergeCell ref="A21:D21"/>
    <mergeCell ref="A26:D26"/>
    <mergeCell ref="A3:D3"/>
    <mergeCell ref="A4:D4"/>
    <mergeCell ref="A5:D5"/>
    <mergeCell ref="A7:D7"/>
    <mergeCell ref="A6:D6"/>
    <mergeCell ref="A29:E29"/>
    <mergeCell ref="A18:D18"/>
    <mergeCell ref="A19:D19"/>
    <mergeCell ref="A10:D10"/>
    <mergeCell ref="A16:D16"/>
    <mergeCell ref="A25:E25"/>
  </mergeCells>
  <phoneticPr fontId="0" type="noConversion"/>
  <pageMargins left="0.22" right="0.26" top="1" bottom="1" header="0.5" footer="0.5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opLeftCell="A25" workbookViewId="0">
      <selection activeCell="E36" sqref="E36"/>
    </sheetView>
  </sheetViews>
  <sheetFormatPr defaultRowHeight="15.75" x14ac:dyDescent="0.25"/>
  <cols>
    <col min="1" max="1" width="18.5703125" style="1" customWidth="1"/>
    <col min="2" max="2" width="28.140625" style="1" customWidth="1"/>
    <col min="3" max="3" width="21.140625" style="1" customWidth="1"/>
    <col min="4" max="4" width="21.7109375" style="1" customWidth="1"/>
    <col min="5" max="5" width="28.85546875" style="4" customWidth="1"/>
    <col min="6" max="6" width="9.140625" style="1"/>
    <col min="7" max="7" width="18.140625" style="1" customWidth="1"/>
    <col min="8" max="8" width="20.140625" style="1" customWidth="1"/>
    <col min="9" max="16384" width="9.140625" style="1"/>
  </cols>
  <sheetData>
    <row r="1" spans="1:7" ht="18.75" x14ac:dyDescent="0.3">
      <c r="A1" s="2" t="s">
        <v>0</v>
      </c>
      <c r="C1" s="2"/>
      <c r="D1" s="2"/>
      <c r="E1" s="21" t="s">
        <v>58</v>
      </c>
      <c r="G1" s="2"/>
    </row>
    <row r="3" spans="1:7" ht="66" customHeight="1" x14ac:dyDescent="0.25">
      <c r="A3" s="56" t="s">
        <v>26</v>
      </c>
      <c r="B3" s="56"/>
      <c r="C3" s="56"/>
      <c r="D3" s="56"/>
      <c r="E3" s="7" t="s">
        <v>51</v>
      </c>
    </row>
    <row r="4" spans="1:7" x14ac:dyDescent="0.25">
      <c r="A4" s="56" t="s">
        <v>27</v>
      </c>
      <c r="B4" s="56"/>
      <c r="C4" s="56"/>
      <c r="D4" s="56"/>
      <c r="E4" s="9">
        <v>88</v>
      </c>
    </row>
    <row r="5" spans="1:7" x14ac:dyDescent="0.25">
      <c r="A5" s="56" t="s">
        <v>28</v>
      </c>
      <c r="B5" s="56"/>
      <c r="C5" s="56"/>
      <c r="D5" s="56"/>
      <c r="E5" s="9">
        <v>4</v>
      </c>
    </row>
    <row r="6" spans="1:7" ht="18.75" customHeight="1" x14ac:dyDescent="0.25">
      <c r="A6" s="57" t="s">
        <v>29</v>
      </c>
      <c r="B6" s="57"/>
      <c r="C6" s="57"/>
      <c r="D6" s="57"/>
      <c r="E6" s="9">
        <v>9</v>
      </c>
    </row>
    <row r="7" spans="1:7" ht="17.25" customHeight="1" x14ac:dyDescent="0.25">
      <c r="A7" s="56" t="s">
        <v>6</v>
      </c>
      <c r="B7" s="56"/>
      <c r="C7" s="56"/>
      <c r="D7" s="56"/>
      <c r="E7" s="9">
        <v>40</v>
      </c>
    </row>
    <row r="8" spans="1:7" ht="17.25" customHeight="1" x14ac:dyDescent="0.25">
      <c r="A8" s="56" t="s">
        <v>30</v>
      </c>
      <c r="B8" s="56"/>
      <c r="C8" s="56"/>
      <c r="D8" s="56"/>
      <c r="E8" s="10">
        <f>ROUND(E7/60,2)</f>
        <v>0.67</v>
      </c>
    </row>
    <row r="9" spans="1:7" ht="34.5" customHeight="1" x14ac:dyDescent="0.25">
      <c r="A9" s="59" t="s">
        <v>31</v>
      </c>
      <c r="B9" s="60"/>
      <c r="C9" s="60"/>
      <c r="D9" s="61"/>
      <c r="E9" s="11">
        <v>160</v>
      </c>
    </row>
    <row r="10" spans="1:7" x14ac:dyDescent="0.25">
      <c r="A10" s="56" t="s">
        <v>32</v>
      </c>
      <c r="B10" s="56"/>
      <c r="C10" s="56"/>
      <c r="D10" s="56"/>
      <c r="E10" s="9">
        <v>8</v>
      </c>
    </row>
    <row r="13" spans="1:7" ht="15.75" customHeight="1" x14ac:dyDescent="0.3">
      <c r="A13" s="73" t="s">
        <v>53</v>
      </c>
      <c r="B13" s="73"/>
      <c r="C13" s="73"/>
      <c r="D13" s="73"/>
      <c r="E13" s="73"/>
    </row>
    <row r="14" spans="1:7" ht="15.75" customHeight="1" x14ac:dyDescent="0.3">
      <c r="A14" s="8"/>
      <c r="B14" s="8"/>
      <c r="C14" s="8"/>
      <c r="D14" s="8"/>
      <c r="E14" s="8"/>
    </row>
    <row r="15" spans="1:7" x14ac:dyDescent="0.25">
      <c r="A15" s="71" t="s">
        <v>16</v>
      </c>
      <c r="B15" s="71"/>
      <c r="C15" s="71"/>
      <c r="D15" s="71"/>
      <c r="E15" s="72"/>
    </row>
    <row r="16" spans="1:7" ht="36.75" customHeight="1" x14ac:dyDescent="0.25">
      <c r="A16" s="68" t="s">
        <v>52</v>
      </c>
      <c r="B16" s="69"/>
      <c r="C16" s="69"/>
      <c r="D16" s="70"/>
      <c r="E16" s="65">
        <v>4800</v>
      </c>
    </row>
    <row r="17" spans="1:7" ht="22.5" customHeight="1" x14ac:dyDescent="0.25">
      <c r="A17" s="62" t="s">
        <v>7</v>
      </c>
      <c r="B17" s="63"/>
      <c r="C17" s="63"/>
      <c r="D17" s="64"/>
      <c r="E17" s="66"/>
      <c r="F17" s="6"/>
    </row>
    <row r="18" spans="1:7" x14ac:dyDescent="0.25">
      <c r="A18" s="67" t="s">
        <v>8</v>
      </c>
      <c r="B18" s="67"/>
      <c r="C18" s="67"/>
      <c r="D18" s="67"/>
      <c r="E18" s="13">
        <f>0.13*E16</f>
        <v>624</v>
      </c>
      <c r="G18" s="6"/>
    </row>
    <row r="19" spans="1:7" x14ac:dyDescent="0.25">
      <c r="A19" s="58" t="s">
        <v>9</v>
      </c>
      <c r="B19" s="58"/>
      <c r="C19" s="58"/>
      <c r="D19" s="58"/>
      <c r="E19" s="13">
        <f>E16*0.042</f>
        <v>201.60000000000002</v>
      </c>
    </row>
    <row r="20" spans="1:7" x14ac:dyDescent="0.25">
      <c r="A20" s="58" t="s">
        <v>10</v>
      </c>
      <c r="B20" s="58"/>
      <c r="C20" s="58"/>
      <c r="D20" s="58"/>
      <c r="E20" s="14">
        <f>(E16+E18+E19)*0.15</f>
        <v>843.84</v>
      </c>
    </row>
    <row r="21" spans="1:7" x14ac:dyDescent="0.25">
      <c r="A21" s="74" t="s">
        <v>11</v>
      </c>
      <c r="B21" s="74"/>
      <c r="C21" s="74"/>
      <c r="D21" s="74"/>
      <c r="E21" s="15">
        <f>SUM(E16:E20)</f>
        <v>6469.4400000000005</v>
      </c>
    </row>
    <row r="22" spans="1:7" ht="33" customHeight="1" x14ac:dyDescent="0.25">
      <c r="A22" s="78" t="s">
        <v>12</v>
      </c>
      <c r="B22" s="79"/>
      <c r="C22" s="79"/>
      <c r="D22" s="80"/>
      <c r="E22" s="15">
        <f>E21/E9*E8*E5*E10</f>
        <v>866.90496000000019</v>
      </c>
    </row>
    <row r="23" spans="1:7" x14ac:dyDescent="0.25">
      <c r="A23" s="81"/>
      <c r="B23" s="81"/>
      <c r="C23" s="81"/>
      <c r="D23" s="81"/>
      <c r="E23" s="3"/>
    </row>
    <row r="24" spans="1:7" x14ac:dyDescent="0.25">
      <c r="A24" s="81"/>
      <c r="B24" s="81"/>
      <c r="C24" s="81"/>
      <c r="D24" s="81"/>
      <c r="E24" s="3"/>
    </row>
    <row r="25" spans="1:7" x14ac:dyDescent="0.25">
      <c r="A25" s="72" t="s">
        <v>17</v>
      </c>
      <c r="B25" s="72"/>
      <c r="C25" s="72"/>
      <c r="D25" s="72"/>
      <c r="E25" s="72"/>
    </row>
    <row r="26" spans="1:7" ht="35.25" customHeight="1" x14ac:dyDescent="0.25">
      <c r="A26" s="78" t="s">
        <v>13</v>
      </c>
      <c r="B26" s="79"/>
      <c r="C26" s="79"/>
      <c r="D26" s="80"/>
      <c r="E26" s="15">
        <f>E22*0.302</f>
        <v>261.80529792000004</v>
      </c>
    </row>
    <row r="27" spans="1:7" x14ac:dyDescent="0.25">
      <c r="E27" s="3"/>
    </row>
    <row r="29" spans="1:7" ht="16.5" customHeight="1" x14ac:dyDescent="0.25">
      <c r="A29" s="72" t="s">
        <v>21</v>
      </c>
      <c r="B29" s="72"/>
      <c r="C29" s="72"/>
      <c r="D29" s="72"/>
      <c r="E29" s="72"/>
    </row>
    <row r="30" spans="1:7" ht="21" customHeight="1" x14ac:dyDescent="0.25">
      <c r="A30" s="75" t="s">
        <v>14</v>
      </c>
      <c r="B30" s="76"/>
      <c r="C30" s="76"/>
      <c r="D30" s="77"/>
      <c r="E30" s="25">
        <v>3</v>
      </c>
    </row>
    <row r="31" spans="1:7" x14ac:dyDescent="0.25">
      <c r="A31" s="75" t="s">
        <v>59</v>
      </c>
      <c r="B31" s="76"/>
      <c r="C31" s="76"/>
      <c r="D31" s="77"/>
      <c r="E31" s="17">
        <f>22000</f>
        <v>22000</v>
      </c>
    </row>
    <row r="32" spans="1:7" x14ac:dyDescent="0.25">
      <c r="A32" s="75" t="s">
        <v>60</v>
      </c>
      <c r="B32" s="76"/>
      <c r="C32" s="76"/>
      <c r="D32" s="77"/>
      <c r="E32" s="17">
        <v>22000</v>
      </c>
    </row>
    <row r="33" spans="1:5" x14ac:dyDescent="0.25">
      <c r="A33" s="75" t="s">
        <v>61</v>
      </c>
      <c r="B33" s="76"/>
      <c r="C33" s="76"/>
      <c r="D33" s="77"/>
      <c r="E33" s="17">
        <v>2000</v>
      </c>
    </row>
    <row r="34" spans="1:5" x14ac:dyDescent="0.25">
      <c r="A34" s="78" t="s">
        <v>62</v>
      </c>
      <c r="B34" s="79"/>
      <c r="C34" s="79"/>
      <c r="D34" s="80"/>
      <c r="E34" s="16">
        <f>SUM(E31:E33)</f>
        <v>46000</v>
      </c>
    </row>
    <row r="35" spans="1:5" x14ac:dyDescent="0.25">
      <c r="A35" s="75" t="s">
        <v>45</v>
      </c>
      <c r="B35" s="76"/>
      <c r="C35" s="76"/>
      <c r="D35" s="77"/>
      <c r="E35" s="15">
        <f>E34/E6/E30</f>
        <v>1703.7037037037037</v>
      </c>
    </row>
    <row r="36" spans="1:5" x14ac:dyDescent="0.25">
      <c r="A36" s="19"/>
      <c r="B36" s="19"/>
      <c r="C36" s="19"/>
      <c r="D36" s="19"/>
      <c r="E36" s="20"/>
    </row>
    <row r="38" spans="1:5" x14ac:dyDescent="0.25">
      <c r="A38" s="72" t="s">
        <v>22</v>
      </c>
      <c r="B38" s="72"/>
      <c r="C38" s="72"/>
      <c r="D38" s="72"/>
      <c r="E38" s="72"/>
    </row>
    <row r="39" spans="1:5" ht="50.25" customHeight="1" x14ac:dyDescent="0.25">
      <c r="A39" s="84" t="s">
        <v>40</v>
      </c>
      <c r="B39" s="84"/>
      <c r="C39" s="5" t="s">
        <v>24</v>
      </c>
      <c r="D39" s="5" t="s">
        <v>25</v>
      </c>
      <c r="E39" s="17" t="s">
        <v>23</v>
      </c>
    </row>
    <row r="40" spans="1:5" ht="15.75" customHeight="1" x14ac:dyDescent="0.25">
      <c r="A40" s="75" t="s">
        <v>63</v>
      </c>
      <c r="B40" s="77"/>
      <c r="C40" s="12">
        <v>4400</v>
      </c>
      <c r="D40" s="18">
        <v>12</v>
      </c>
      <c r="E40" s="14">
        <f>C40/D40/E9*E8*E5*E10</f>
        <v>49.13333333333334</v>
      </c>
    </row>
    <row r="41" spans="1:5" x14ac:dyDescent="0.25">
      <c r="A41" s="75" t="s">
        <v>19</v>
      </c>
      <c r="B41" s="77"/>
      <c r="C41" s="12">
        <v>13990</v>
      </c>
      <c r="D41" s="18">
        <v>84</v>
      </c>
      <c r="E41" s="14">
        <f>C41/D41/E9*E8*E5*E10</f>
        <v>22.317380952380955</v>
      </c>
    </row>
    <row r="42" spans="1:5" ht="15.75" customHeight="1" x14ac:dyDescent="0.25">
      <c r="A42" s="78" t="s">
        <v>44</v>
      </c>
      <c r="B42" s="79"/>
      <c r="C42" s="79"/>
      <c r="D42" s="80"/>
      <c r="E42" s="15">
        <f>E40+E41</f>
        <v>71.450714285714298</v>
      </c>
    </row>
    <row r="44" spans="1:5" ht="18.75" x14ac:dyDescent="0.3">
      <c r="A44" s="82" t="s">
        <v>54</v>
      </c>
      <c r="B44" s="83"/>
      <c r="C44" s="83"/>
      <c r="D44" s="83"/>
      <c r="E44" s="26">
        <f>E22+E26+E35+E42</f>
        <v>2903.8646759094181</v>
      </c>
    </row>
    <row r="47" spans="1:5" ht="18.75" x14ac:dyDescent="0.3">
      <c r="A47" s="73" t="s">
        <v>55</v>
      </c>
      <c r="B47" s="73"/>
      <c r="C47" s="73"/>
      <c r="D47" s="73"/>
      <c r="E47" s="73"/>
    </row>
    <row r="48" spans="1:5" ht="18.75" x14ac:dyDescent="0.3">
      <c r="A48" s="8"/>
      <c r="B48" s="8"/>
      <c r="C48" s="8"/>
      <c r="D48" s="8"/>
      <c r="E48" s="8"/>
    </row>
    <row r="49" spans="1:5" x14ac:dyDescent="0.25">
      <c r="A49" s="71" t="s">
        <v>33</v>
      </c>
      <c r="B49" s="71"/>
      <c r="C49" s="71"/>
      <c r="D49" s="71"/>
      <c r="E49" s="72"/>
    </row>
    <row r="50" spans="1:5" ht="45.75" customHeight="1" x14ac:dyDescent="0.25">
      <c r="A50" s="75" t="s">
        <v>34</v>
      </c>
      <c r="B50" s="76"/>
      <c r="C50" s="76"/>
      <c r="D50" s="77"/>
      <c r="E50" s="13">
        <v>27.4</v>
      </c>
    </row>
    <row r="51" spans="1:5" x14ac:dyDescent="0.25">
      <c r="A51" s="58" t="s">
        <v>35</v>
      </c>
      <c r="B51" s="58"/>
      <c r="C51" s="58"/>
      <c r="D51" s="58"/>
      <c r="E51" s="15">
        <f>E22*E50%</f>
        <v>237.53195904000003</v>
      </c>
    </row>
    <row r="52" spans="1:5" x14ac:dyDescent="0.25">
      <c r="A52" s="81"/>
      <c r="B52" s="81"/>
      <c r="C52" s="81"/>
      <c r="D52" s="81"/>
      <c r="E52" s="3"/>
    </row>
    <row r="53" spans="1:5" x14ac:dyDescent="0.25">
      <c r="A53" s="81"/>
      <c r="B53" s="81"/>
      <c r="C53" s="81"/>
      <c r="D53" s="81"/>
      <c r="E53" s="3"/>
    </row>
    <row r="54" spans="1:5" x14ac:dyDescent="0.25">
      <c r="A54" s="72" t="s">
        <v>17</v>
      </c>
      <c r="B54" s="72"/>
      <c r="C54" s="72"/>
      <c r="D54" s="72"/>
      <c r="E54" s="72"/>
    </row>
    <row r="55" spans="1:5" x14ac:dyDescent="0.25">
      <c r="A55" s="78" t="s">
        <v>36</v>
      </c>
      <c r="B55" s="79"/>
      <c r="C55" s="79"/>
      <c r="D55" s="80"/>
      <c r="E55" s="15">
        <f>E51*0.302</f>
        <v>71.734651630080009</v>
      </c>
    </row>
    <row r="58" spans="1:5" x14ac:dyDescent="0.25">
      <c r="A58" s="72" t="s">
        <v>37</v>
      </c>
      <c r="B58" s="72"/>
      <c r="C58" s="72"/>
      <c r="D58" s="72"/>
      <c r="E58" s="72"/>
    </row>
    <row r="59" spans="1:5" ht="15.75" customHeight="1" x14ac:dyDescent="0.25">
      <c r="A59" s="78" t="s">
        <v>39</v>
      </c>
      <c r="B59" s="79"/>
      <c r="C59" s="79"/>
      <c r="D59" s="80"/>
      <c r="E59" s="16" t="s">
        <v>38</v>
      </c>
    </row>
    <row r="60" spans="1:5" ht="15.75" customHeight="1" x14ac:dyDescent="0.25">
      <c r="A60" s="75" t="s">
        <v>2</v>
      </c>
      <c r="B60" s="76"/>
      <c r="C60" s="76"/>
      <c r="D60" s="77"/>
      <c r="E60" s="17">
        <v>15500</v>
      </c>
    </row>
    <row r="61" spans="1:5" ht="15.75" customHeight="1" x14ac:dyDescent="0.25">
      <c r="A61" s="75" t="s">
        <v>3</v>
      </c>
      <c r="B61" s="76"/>
      <c r="C61" s="76"/>
      <c r="D61" s="77"/>
      <c r="E61" s="17">
        <v>3000</v>
      </c>
    </row>
    <row r="62" spans="1:5" x14ac:dyDescent="0.25">
      <c r="A62" s="75" t="s">
        <v>42</v>
      </c>
      <c r="B62" s="76"/>
      <c r="C62" s="76"/>
      <c r="D62" s="77"/>
      <c r="E62" s="24">
        <f>SUM(E60:E61)</f>
        <v>18500</v>
      </c>
    </row>
    <row r="63" spans="1:5" x14ac:dyDescent="0.25">
      <c r="A63" s="75" t="s">
        <v>43</v>
      </c>
      <c r="B63" s="76"/>
      <c r="C63" s="76"/>
      <c r="D63" s="77"/>
      <c r="E63" s="24">
        <f>E62/9/E9*E8*E5*E10</f>
        <v>275.44444444444446</v>
      </c>
    </row>
    <row r="65" spans="1:5" ht="18.75" x14ac:dyDescent="0.3">
      <c r="A65" s="82" t="s">
        <v>46</v>
      </c>
      <c r="B65" s="83"/>
      <c r="C65" s="83"/>
      <c r="D65" s="88"/>
      <c r="E65" s="22">
        <f>E63+E51+E55</f>
        <v>584.71105511452447</v>
      </c>
    </row>
    <row r="66" spans="1:5" ht="18.75" x14ac:dyDescent="0.3">
      <c r="A66" s="82" t="s">
        <v>47</v>
      </c>
      <c r="B66" s="83"/>
      <c r="C66" s="83"/>
      <c r="D66" s="88"/>
      <c r="E66" s="22">
        <f>ROUND(E44/E65,2)</f>
        <v>4.97</v>
      </c>
    </row>
    <row r="67" spans="1:5" ht="34.5" customHeight="1" x14ac:dyDescent="0.3">
      <c r="A67" s="85" t="s">
        <v>48</v>
      </c>
      <c r="B67" s="86"/>
      <c r="C67" s="86"/>
      <c r="D67" s="87"/>
      <c r="E67" s="27">
        <f>ROUND(E44*E66%,2)</f>
        <v>144.32</v>
      </c>
    </row>
    <row r="70" spans="1:5" ht="33" customHeight="1" x14ac:dyDescent="0.3">
      <c r="A70" s="85" t="s">
        <v>64</v>
      </c>
      <c r="B70" s="86"/>
      <c r="C70" s="89" t="str">
        <f>E1</f>
        <v>Хореография</v>
      </c>
      <c r="D70" s="90"/>
      <c r="E70" s="28">
        <f>E44+E67</f>
        <v>3048.1846759094183</v>
      </c>
    </row>
    <row r="71" spans="1:5" ht="18.75" x14ac:dyDescent="0.3">
      <c r="A71" s="85" t="s">
        <v>49</v>
      </c>
      <c r="B71" s="86"/>
      <c r="C71" s="86"/>
      <c r="D71" s="87"/>
      <c r="E71" s="28">
        <f>E70/(E5*E10)</f>
        <v>95.255771122169321</v>
      </c>
    </row>
    <row r="72" spans="1:5" ht="28.5" customHeight="1" x14ac:dyDescent="0.3">
      <c r="A72" s="85" t="s">
        <v>50</v>
      </c>
      <c r="B72" s="86"/>
      <c r="C72" s="86"/>
      <c r="D72" s="87"/>
      <c r="E72" s="28">
        <f>E71*E10</f>
        <v>762.04616897735457</v>
      </c>
    </row>
  </sheetData>
  <mergeCells count="56">
    <mergeCell ref="A72:D72"/>
    <mergeCell ref="A70:B70"/>
    <mergeCell ref="C70:D70"/>
    <mergeCell ref="A66:D66"/>
    <mergeCell ref="A67:D67"/>
    <mergeCell ref="A71:D71"/>
    <mergeCell ref="A42:D42"/>
    <mergeCell ref="A47:E47"/>
    <mergeCell ref="A44:D44"/>
    <mergeCell ref="A63:D63"/>
    <mergeCell ref="A60:D60"/>
    <mergeCell ref="A62:D62"/>
    <mergeCell ref="A51:D51"/>
    <mergeCell ref="A65:D65"/>
    <mergeCell ref="A55:D55"/>
    <mergeCell ref="A58:E58"/>
    <mergeCell ref="A49:E49"/>
    <mergeCell ref="A50:D50"/>
    <mergeCell ref="A52:D52"/>
    <mergeCell ref="A53:D53"/>
    <mergeCell ref="A54:E54"/>
    <mergeCell ref="A61:D61"/>
    <mergeCell ref="A59:D59"/>
    <mergeCell ref="A41:B41"/>
    <mergeCell ref="A31:D31"/>
    <mergeCell ref="A35:D35"/>
    <mergeCell ref="A33:D33"/>
    <mergeCell ref="A34:D34"/>
    <mergeCell ref="A32:D32"/>
    <mergeCell ref="A38:E38"/>
    <mergeCell ref="A22:D22"/>
    <mergeCell ref="A18:D18"/>
    <mergeCell ref="A19:D19"/>
    <mergeCell ref="A39:B39"/>
    <mergeCell ref="A40:B40"/>
    <mergeCell ref="A23:D23"/>
    <mergeCell ref="A24:D24"/>
    <mergeCell ref="A26:D26"/>
    <mergeCell ref="A30:D30"/>
    <mergeCell ref="A25:E25"/>
    <mergeCell ref="A29:E29"/>
    <mergeCell ref="A10:D10"/>
    <mergeCell ref="A13:E13"/>
    <mergeCell ref="A21:D21"/>
    <mergeCell ref="A15:E15"/>
    <mergeCell ref="A20:D20"/>
    <mergeCell ref="A17:D17"/>
    <mergeCell ref="A16:D16"/>
    <mergeCell ref="E16:E17"/>
    <mergeCell ref="A9:D9"/>
    <mergeCell ref="A8:D8"/>
    <mergeCell ref="A3:D3"/>
    <mergeCell ref="A4:D4"/>
    <mergeCell ref="A5:D5"/>
    <mergeCell ref="A7:D7"/>
    <mergeCell ref="A6:D6"/>
  </mergeCells>
  <phoneticPr fontId="0" type="noConversion"/>
  <pageMargins left="0.22" right="0.26" top="1" bottom="1" header="0.5" footer="0.5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opLeftCell="A13" workbookViewId="0">
      <selection activeCell="E33" sqref="E33"/>
    </sheetView>
  </sheetViews>
  <sheetFormatPr defaultRowHeight="15.75" x14ac:dyDescent="0.25"/>
  <cols>
    <col min="1" max="1" width="18.5703125" style="1" customWidth="1"/>
    <col min="2" max="2" width="29.42578125" style="1" customWidth="1"/>
    <col min="3" max="3" width="21.140625" style="1" customWidth="1"/>
    <col min="4" max="4" width="21.7109375" style="1" customWidth="1"/>
    <col min="5" max="5" width="28.85546875" style="4" customWidth="1"/>
    <col min="6" max="6" width="9.140625" style="1"/>
    <col min="7" max="7" width="18.140625" style="1" customWidth="1"/>
    <col min="8" max="8" width="20.140625" style="1" customWidth="1"/>
    <col min="9" max="16384" width="9.140625" style="1"/>
  </cols>
  <sheetData>
    <row r="1" spans="1:7" ht="18.75" x14ac:dyDescent="0.3">
      <c r="A1" s="2" t="s">
        <v>0</v>
      </c>
      <c r="C1" s="2"/>
      <c r="D1" s="2"/>
      <c r="E1" s="21" t="s">
        <v>1</v>
      </c>
      <c r="G1" s="2"/>
    </row>
    <row r="3" spans="1:7" ht="66" customHeight="1" x14ac:dyDescent="0.25">
      <c r="A3" s="56" t="s">
        <v>26</v>
      </c>
      <c r="B3" s="56"/>
      <c r="C3" s="56"/>
      <c r="D3" s="56"/>
      <c r="E3" s="7" t="s">
        <v>51</v>
      </c>
    </row>
    <row r="4" spans="1:7" x14ac:dyDescent="0.25">
      <c r="A4" s="56" t="s">
        <v>27</v>
      </c>
      <c r="B4" s="56"/>
      <c r="C4" s="56"/>
      <c r="D4" s="56"/>
      <c r="E4" s="9">
        <v>42</v>
      </c>
    </row>
    <row r="5" spans="1:7" x14ac:dyDescent="0.25">
      <c r="A5" s="56" t="s">
        <v>28</v>
      </c>
      <c r="B5" s="56"/>
      <c r="C5" s="56"/>
      <c r="D5" s="56"/>
      <c r="E5" s="9">
        <v>2</v>
      </c>
    </row>
    <row r="6" spans="1:7" ht="18.75" customHeight="1" x14ac:dyDescent="0.25">
      <c r="A6" s="57" t="s">
        <v>29</v>
      </c>
      <c r="B6" s="57"/>
      <c r="C6" s="57"/>
      <c r="D6" s="57"/>
      <c r="E6" s="9">
        <v>9</v>
      </c>
    </row>
    <row r="7" spans="1:7" ht="17.25" customHeight="1" x14ac:dyDescent="0.25">
      <c r="A7" s="56" t="s">
        <v>6</v>
      </c>
      <c r="B7" s="56"/>
      <c r="C7" s="56"/>
      <c r="D7" s="56"/>
      <c r="E7" s="9">
        <v>40</v>
      </c>
    </row>
    <row r="8" spans="1:7" ht="17.25" customHeight="1" x14ac:dyDescent="0.25">
      <c r="A8" s="56" t="s">
        <v>30</v>
      </c>
      <c r="B8" s="56"/>
      <c r="C8" s="56"/>
      <c r="D8" s="56"/>
      <c r="E8" s="10">
        <f>ROUND(E7/60,2)</f>
        <v>0.67</v>
      </c>
    </row>
    <row r="9" spans="1:7" ht="34.5" customHeight="1" x14ac:dyDescent="0.25">
      <c r="A9" s="59" t="s">
        <v>31</v>
      </c>
      <c r="B9" s="60"/>
      <c r="C9" s="60"/>
      <c r="D9" s="61"/>
      <c r="E9" s="11">
        <v>160</v>
      </c>
    </row>
    <row r="10" spans="1:7" x14ac:dyDescent="0.25">
      <c r="A10" s="56" t="s">
        <v>32</v>
      </c>
      <c r="B10" s="56"/>
      <c r="C10" s="56"/>
      <c r="D10" s="56"/>
      <c r="E10" s="9">
        <v>8</v>
      </c>
    </row>
    <row r="13" spans="1:7" ht="15.75" customHeight="1" x14ac:dyDescent="0.3">
      <c r="A13" s="73" t="s">
        <v>53</v>
      </c>
      <c r="B13" s="73"/>
      <c r="C13" s="73"/>
      <c r="D13" s="73"/>
      <c r="E13" s="73"/>
    </row>
    <row r="14" spans="1:7" ht="15.75" customHeight="1" x14ac:dyDescent="0.3">
      <c r="A14" s="8"/>
      <c r="B14" s="8"/>
      <c r="C14" s="8"/>
      <c r="D14" s="8"/>
      <c r="E14" s="8"/>
    </row>
    <row r="15" spans="1:7" x14ac:dyDescent="0.25">
      <c r="A15" s="71" t="s">
        <v>16</v>
      </c>
      <c r="B15" s="71"/>
      <c r="C15" s="71"/>
      <c r="D15" s="71"/>
      <c r="E15" s="72"/>
    </row>
    <row r="16" spans="1:7" ht="36.75" customHeight="1" x14ac:dyDescent="0.25">
      <c r="A16" s="68" t="s">
        <v>52</v>
      </c>
      <c r="B16" s="69"/>
      <c r="C16" s="69"/>
      <c r="D16" s="70"/>
      <c r="E16" s="65">
        <v>4800</v>
      </c>
    </row>
    <row r="17" spans="1:7" ht="22.5" customHeight="1" x14ac:dyDescent="0.25">
      <c r="A17" s="62" t="s">
        <v>7</v>
      </c>
      <c r="B17" s="63"/>
      <c r="C17" s="63"/>
      <c r="D17" s="64"/>
      <c r="E17" s="66"/>
      <c r="F17" s="6"/>
    </row>
    <row r="18" spans="1:7" x14ac:dyDescent="0.25">
      <c r="A18" s="67" t="s">
        <v>8</v>
      </c>
      <c r="B18" s="67"/>
      <c r="C18" s="67"/>
      <c r="D18" s="67"/>
      <c r="E18" s="13">
        <f>0.13*E16</f>
        <v>624</v>
      </c>
      <c r="G18" s="6"/>
    </row>
    <row r="19" spans="1:7" x14ac:dyDescent="0.25">
      <c r="A19" s="58" t="s">
        <v>9</v>
      </c>
      <c r="B19" s="58"/>
      <c r="C19" s="58"/>
      <c r="D19" s="58"/>
      <c r="E19" s="13">
        <f>E16*0.042</f>
        <v>201.60000000000002</v>
      </c>
    </row>
    <row r="20" spans="1:7" x14ac:dyDescent="0.25">
      <c r="A20" s="58" t="s">
        <v>10</v>
      </c>
      <c r="B20" s="58"/>
      <c r="C20" s="58"/>
      <c r="D20" s="58"/>
      <c r="E20" s="14">
        <f>(E16+E18+E19)*0.15</f>
        <v>843.84</v>
      </c>
    </row>
    <row r="21" spans="1:7" x14ac:dyDescent="0.25">
      <c r="A21" s="74" t="s">
        <v>11</v>
      </c>
      <c r="B21" s="74"/>
      <c r="C21" s="74"/>
      <c r="D21" s="74"/>
      <c r="E21" s="15">
        <f>SUM(E16:E20)</f>
        <v>6469.4400000000005</v>
      </c>
    </row>
    <row r="22" spans="1:7" ht="33" customHeight="1" x14ac:dyDescent="0.25">
      <c r="A22" s="78" t="s">
        <v>12</v>
      </c>
      <c r="B22" s="79"/>
      <c r="C22" s="79"/>
      <c r="D22" s="80"/>
      <c r="E22" s="15">
        <f>E21/E9*E8*E5*E10</f>
        <v>433.45248000000009</v>
      </c>
    </row>
    <row r="23" spans="1:7" x14ac:dyDescent="0.25">
      <c r="A23" s="81"/>
      <c r="B23" s="81"/>
      <c r="C23" s="81"/>
      <c r="D23" s="81"/>
      <c r="E23" s="3"/>
    </row>
    <row r="24" spans="1:7" x14ac:dyDescent="0.25">
      <c r="A24" s="81"/>
      <c r="B24" s="81"/>
      <c r="C24" s="81"/>
      <c r="D24" s="81"/>
      <c r="E24" s="3"/>
    </row>
    <row r="25" spans="1:7" x14ac:dyDescent="0.25">
      <c r="A25" s="72" t="s">
        <v>17</v>
      </c>
      <c r="B25" s="72"/>
      <c r="C25" s="72"/>
      <c r="D25" s="72"/>
      <c r="E25" s="72"/>
    </row>
    <row r="26" spans="1:7" ht="35.25" customHeight="1" x14ac:dyDescent="0.25">
      <c r="A26" s="78" t="s">
        <v>13</v>
      </c>
      <c r="B26" s="79"/>
      <c r="C26" s="79"/>
      <c r="D26" s="80"/>
      <c r="E26" s="15">
        <f>E22*0.302</f>
        <v>130.90264896000002</v>
      </c>
    </row>
    <row r="27" spans="1:7" x14ac:dyDescent="0.25">
      <c r="E27" s="3"/>
    </row>
    <row r="29" spans="1:7" ht="16.5" customHeight="1" x14ac:dyDescent="0.25">
      <c r="A29" s="72" t="s">
        <v>21</v>
      </c>
      <c r="B29" s="72"/>
      <c r="C29" s="72"/>
      <c r="D29" s="72"/>
      <c r="E29" s="72"/>
    </row>
    <row r="30" spans="1:7" ht="21" customHeight="1" x14ac:dyDescent="0.25">
      <c r="A30" s="75" t="s">
        <v>14</v>
      </c>
      <c r="B30" s="76"/>
      <c r="C30" s="76"/>
      <c r="D30" s="77"/>
      <c r="E30" s="25">
        <v>3</v>
      </c>
    </row>
    <row r="31" spans="1:7" x14ac:dyDescent="0.25">
      <c r="A31" s="75" t="s">
        <v>15</v>
      </c>
      <c r="B31" s="76"/>
      <c r="C31" s="76"/>
      <c r="D31" s="77"/>
      <c r="E31" s="17">
        <v>2000</v>
      </c>
    </row>
    <row r="32" spans="1:7" x14ac:dyDescent="0.25">
      <c r="A32" s="75" t="s">
        <v>45</v>
      </c>
      <c r="B32" s="76"/>
      <c r="C32" s="76"/>
      <c r="D32" s="77"/>
      <c r="E32" s="15">
        <f>E31/E6/E30</f>
        <v>74.074074074074076</v>
      </c>
    </row>
    <row r="33" spans="1:5" x14ac:dyDescent="0.25">
      <c r="A33" s="19"/>
      <c r="B33" s="19"/>
      <c r="C33" s="19"/>
      <c r="D33" s="19"/>
      <c r="E33" s="20"/>
    </row>
    <row r="35" spans="1:5" x14ac:dyDescent="0.25">
      <c r="A35" s="72" t="s">
        <v>22</v>
      </c>
      <c r="B35" s="72"/>
      <c r="C35" s="72"/>
      <c r="D35" s="72"/>
      <c r="E35" s="72"/>
    </row>
    <row r="36" spans="1:5" ht="50.25" customHeight="1" x14ac:dyDescent="0.25">
      <c r="A36" s="84" t="s">
        <v>40</v>
      </c>
      <c r="B36" s="84"/>
      <c r="C36" s="5" t="s">
        <v>24</v>
      </c>
      <c r="D36" s="5" t="s">
        <v>25</v>
      </c>
      <c r="E36" s="17" t="s">
        <v>23</v>
      </c>
    </row>
    <row r="37" spans="1:5" ht="15.75" customHeight="1" x14ac:dyDescent="0.25">
      <c r="A37" s="75" t="s">
        <v>18</v>
      </c>
      <c r="B37" s="77"/>
      <c r="C37" s="12">
        <v>4400</v>
      </c>
      <c r="D37" s="18">
        <v>12</v>
      </c>
      <c r="E37" s="14">
        <f>C37/D37/E9*E8*E5*E10</f>
        <v>24.56666666666667</v>
      </c>
    </row>
    <row r="38" spans="1:5" x14ac:dyDescent="0.25">
      <c r="A38" s="75" t="s">
        <v>19</v>
      </c>
      <c r="B38" s="77"/>
      <c r="C38" s="12">
        <v>13990</v>
      </c>
      <c r="D38" s="18">
        <v>84</v>
      </c>
      <c r="E38" s="14">
        <f>C38/D38/E9*E8*E5*E10</f>
        <v>11.158690476190477</v>
      </c>
    </row>
    <row r="39" spans="1:5" x14ac:dyDescent="0.25">
      <c r="A39" s="75" t="s">
        <v>20</v>
      </c>
      <c r="B39" s="77"/>
      <c r="C39" s="12">
        <v>120960</v>
      </c>
      <c r="D39" s="18">
        <v>84</v>
      </c>
      <c r="E39" s="14">
        <f>C39/D39/E9*E8*E5*E10</f>
        <v>96.48</v>
      </c>
    </row>
    <row r="40" spans="1:5" ht="15.75" customHeight="1" x14ac:dyDescent="0.25">
      <c r="A40" s="78" t="s">
        <v>44</v>
      </c>
      <c r="B40" s="79"/>
      <c r="C40" s="79"/>
      <c r="D40" s="80"/>
      <c r="E40" s="15">
        <f>E37+E38+E39</f>
        <v>132.20535714285717</v>
      </c>
    </row>
    <row r="42" spans="1:5" ht="18.75" x14ac:dyDescent="0.3">
      <c r="A42" s="82" t="s">
        <v>54</v>
      </c>
      <c r="B42" s="83"/>
      <c r="C42" s="83"/>
      <c r="D42" s="83"/>
      <c r="E42" s="26">
        <f>E22+E26+E32+E40</f>
        <v>770.63456017693125</v>
      </c>
    </row>
    <row r="45" spans="1:5" ht="18.75" x14ac:dyDescent="0.3">
      <c r="A45" s="73" t="s">
        <v>55</v>
      </c>
      <c r="B45" s="73"/>
      <c r="C45" s="73"/>
      <c r="D45" s="73"/>
      <c r="E45" s="73"/>
    </row>
    <row r="46" spans="1:5" ht="18.75" x14ac:dyDescent="0.3">
      <c r="A46" s="8"/>
      <c r="B46" s="8"/>
      <c r="C46" s="8"/>
      <c r="D46" s="8"/>
      <c r="E46" s="8"/>
    </row>
    <row r="47" spans="1:5" x14ac:dyDescent="0.25">
      <c r="A47" s="71" t="s">
        <v>33</v>
      </c>
      <c r="B47" s="71"/>
      <c r="C47" s="71"/>
      <c r="D47" s="71"/>
      <c r="E47" s="72"/>
    </row>
    <row r="48" spans="1:5" ht="45.75" customHeight="1" x14ac:dyDescent="0.25">
      <c r="A48" s="75" t="s">
        <v>34</v>
      </c>
      <c r="B48" s="76"/>
      <c r="C48" s="76"/>
      <c r="D48" s="77"/>
      <c r="E48" s="13">
        <v>27.4</v>
      </c>
    </row>
    <row r="49" spans="1:5" x14ac:dyDescent="0.25">
      <c r="A49" s="58" t="s">
        <v>35</v>
      </c>
      <c r="B49" s="58"/>
      <c r="C49" s="58"/>
      <c r="D49" s="58"/>
      <c r="E49" s="15">
        <f>E22*E48%</f>
        <v>118.76597952000002</v>
      </c>
    </row>
    <row r="50" spans="1:5" x14ac:dyDescent="0.25">
      <c r="A50" s="81"/>
      <c r="B50" s="81"/>
      <c r="C50" s="81"/>
      <c r="D50" s="81"/>
      <c r="E50" s="3"/>
    </row>
    <row r="51" spans="1:5" x14ac:dyDescent="0.25">
      <c r="A51" s="81"/>
      <c r="B51" s="81"/>
      <c r="C51" s="81"/>
      <c r="D51" s="81"/>
      <c r="E51" s="3"/>
    </row>
    <row r="52" spans="1:5" x14ac:dyDescent="0.25">
      <c r="A52" s="72" t="s">
        <v>17</v>
      </c>
      <c r="B52" s="72"/>
      <c r="C52" s="72"/>
      <c r="D52" s="72"/>
      <c r="E52" s="72"/>
    </row>
    <row r="53" spans="1:5" x14ac:dyDescent="0.25">
      <c r="A53" s="78" t="s">
        <v>36</v>
      </c>
      <c r="B53" s="79"/>
      <c r="C53" s="79"/>
      <c r="D53" s="80"/>
      <c r="E53" s="15">
        <f>E49*0.302</f>
        <v>35.867325815040004</v>
      </c>
    </row>
    <row r="56" spans="1:5" x14ac:dyDescent="0.25">
      <c r="A56" s="72" t="s">
        <v>37</v>
      </c>
      <c r="B56" s="72"/>
      <c r="C56" s="72"/>
      <c r="D56" s="72"/>
      <c r="E56" s="72"/>
    </row>
    <row r="57" spans="1:5" ht="15.75" customHeight="1" x14ac:dyDescent="0.25">
      <c r="A57" s="78" t="s">
        <v>39</v>
      </c>
      <c r="B57" s="79"/>
      <c r="C57" s="79"/>
      <c r="D57" s="80"/>
      <c r="E57" s="16" t="s">
        <v>38</v>
      </c>
    </row>
    <row r="58" spans="1:5" ht="15.75" customHeight="1" x14ac:dyDescent="0.25">
      <c r="A58" s="75" t="s">
        <v>2</v>
      </c>
      <c r="B58" s="76"/>
      <c r="C58" s="76"/>
      <c r="D58" s="77"/>
      <c r="E58" s="17">
        <v>15500</v>
      </c>
    </row>
    <row r="59" spans="1:5" ht="15.75" customHeight="1" x14ac:dyDescent="0.25">
      <c r="A59" s="75" t="s">
        <v>3</v>
      </c>
      <c r="B59" s="76"/>
      <c r="C59" s="76"/>
      <c r="D59" s="77"/>
      <c r="E59" s="17">
        <v>3000</v>
      </c>
    </row>
    <row r="60" spans="1:5" x14ac:dyDescent="0.25">
      <c r="A60" s="75" t="s">
        <v>4</v>
      </c>
      <c r="B60" s="76"/>
      <c r="C60" s="76"/>
      <c r="D60" s="77"/>
      <c r="E60" s="23">
        <v>9000</v>
      </c>
    </row>
    <row r="61" spans="1:5" x14ac:dyDescent="0.25">
      <c r="A61" s="75" t="s">
        <v>5</v>
      </c>
      <c r="B61" s="76"/>
      <c r="C61" s="76"/>
      <c r="D61" s="77"/>
      <c r="E61" s="23">
        <v>13820</v>
      </c>
    </row>
    <row r="62" spans="1:5" x14ac:dyDescent="0.25">
      <c r="A62" s="75" t="s">
        <v>42</v>
      </c>
      <c r="B62" s="76"/>
      <c r="C62" s="76"/>
      <c r="D62" s="77"/>
      <c r="E62" s="24">
        <f>SUM(E58:E61)</f>
        <v>41320</v>
      </c>
    </row>
    <row r="63" spans="1:5" x14ac:dyDescent="0.25">
      <c r="A63" s="75" t="s">
        <v>43</v>
      </c>
      <c r="B63" s="76"/>
      <c r="C63" s="76"/>
      <c r="D63" s="77"/>
      <c r="E63" s="24">
        <f>E62/9/E9*E8*E5*E10</f>
        <v>307.60444444444448</v>
      </c>
    </row>
    <row r="65" spans="1:5" ht="18.75" x14ac:dyDescent="0.3">
      <c r="A65" s="82" t="s">
        <v>46</v>
      </c>
      <c r="B65" s="83"/>
      <c r="C65" s="83"/>
      <c r="D65" s="88"/>
      <c r="E65" s="22">
        <f>E63+E49+E53</f>
        <v>462.23774977948449</v>
      </c>
    </row>
    <row r="66" spans="1:5" ht="18.75" x14ac:dyDescent="0.3">
      <c r="A66" s="82" t="s">
        <v>47</v>
      </c>
      <c r="B66" s="83"/>
      <c r="C66" s="83"/>
      <c r="D66" s="88"/>
      <c r="E66" s="22">
        <f>ROUND(E42/E65,2)</f>
        <v>1.67</v>
      </c>
    </row>
    <row r="67" spans="1:5" ht="34.5" customHeight="1" x14ac:dyDescent="0.3">
      <c r="A67" s="85" t="s">
        <v>48</v>
      </c>
      <c r="B67" s="86"/>
      <c r="C67" s="86"/>
      <c r="D67" s="87"/>
      <c r="E67" s="27">
        <f>ROUND(E42*E66%,2)</f>
        <v>12.87</v>
      </c>
    </row>
    <row r="70" spans="1:5" ht="18.75" customHeight="1" x14ac:dyDescent="0.3">
      <c r="A70" s="85" t="s">
        <v>64</v>
      </c>
      <c r="B70" s="86"/>
      <c r="C70" s="89" t="str">
        <f>E1</f>
        <v>Гимнастика</v>
      </c>
      <c r="D70" s="90"/>
      <c r="E70" s="28">
        <f>E42+E67</f>
        <v>783.50456017693125</v>
      </c>
    </row>
    <row r="71" spans="1:5" ht="18.75" x14ac:dyDescent="0.3">
      <c r="A71" s="85" t="s">
        <v>49</v>
      </c>
      <c r="B71" s="86"/>
      <c r="C71" s="86"/>
      <c r="D71" s="87"/>
      <c r="E71" s="28">
        <f>E70/(E5*E10)</f>
        <v>48.969035011058203</v>
      </c>
    </row>
    <row r="72" spans="1:5" ht="28.5" customHeight="1" x14ac:dyDescent="0.3">
      <c r="A72" s="85" t="s">
        <v>50</v>
      </c>
      <c r="B72" s="86"/>
      <c r="C72" s="86"/>
      <c r="D72" s="87"/>
      <c r="E72" s="28">
        <f>E71*E10</f>
        <v>391.75228008846562</v>
      </c>
    </row>
  </sheetData>
  <mergeCells count="56">
    <mergeCell ref="A10:D10"/>
    <mergeCell ref="A6:D6"/>
    <mergeCell ref="A8:D8"/>
    <mergeCell ref="A3:D3"/>
    <mergeCell ref="A4:D4"/>
    <mergeCell ref="A5:D5"/>
    <mergeCell ref="A7:D7"/>
    <mergeCell ref="A9:D9"/>
    <mergeCell ref="A20:D20"/>
    <mergeCell ref="A15:E15"/>
    <mergeCell ref="A13:E13"/>
    <mergeCell ref="A21:D21"/>
    <mergeCell ref="E16:E17"/>
    <mergeCell ref="A17:D17"/>
    <mergeCell ref="A18:D18"/>
    <mergeCell ref="A19:D19"/>
    <mergeCell ref="A16:D16"/>
    <mergeCell ref="A35:E35"/>
    <mergeCell ref="A40:D40"/>
    <mergeCell ref="A45:E45"/>
    <mergeCell ref="A42:D42"/>
    <mergeCell ref="A36:B36"/>
    <mergeCell ref="A37:B37"/>
    <mergeCell ref="A38:B38"/>
    <mergeCell ref="A39:B39"/>
    <mergeCell ref="A30:D30"/>
    <mergeCell ref="A31:D31"/>
    <mergeCell ref="A32:D32"/>
    <mergeCell ref="A22:D22"/>
    <mergeCell ref="A23:D23"/>
    <mergeCell ref="A26:D26"/>
    <mergeCell ref="A25:E25"/>
    <mergeCell ref="A29:E29"/>
    <mergeCell ref="A24:D24"/>
    <mergeCell ref="A47:E47"/>
    <mergeCell ref="A48:D48"/>
    <mergeCell ref="A63:D63"/>
    <mergeCell ref="A65:D65"/>
    <mergeCell ref="A49:D49"/>
    <mergeCell ref="A60:D60"/>
    <mergeCell ref="A61:D61"/>
    <mergeCell ref="A62:D62"/>
    <mergeCell ref="A50:D50"/>
    <mergeCell ref="A51:D51"/>
    <mergeCell ref="A52:E52"/>
    <mergeCell ref="A59:D59"/>
    <mergeCell ref="A53:D53"/>
    <mergeCell ref="A56:E56"/>
    <mergeCell ref="A57:D57"/>
    <mergeCell ref="A58:D58"/>
    <mergeCell ref="A72:D72"/>
    <mergeCell ref="A70:B70"/>
    <mergeCell ref="C70:D70"/>
    <mergeCell ref="A66:D66"/>
    <mergeCell ref="A67:D67"/>
    <mergeCell ref="A71:D71"/>
  </mergeCells>
  <phoneticPr fontId="0" type="noConversion"/>
  <pageMargins left="0.22" right="0.26" top="1" bottom="1" header="0.5" footer="0.5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G86"/>
  <sheetViews>
    <sheetView topLeftCell="A59" workbookViewId="0">
      <selection activeCell="E86" sqref="E86"/>
    </sheetView>
  </sheetViews>
  <sheetFormatPr defaultRowHeight="15.75" x14ac:dyDescent="0.25"/>
  <cols>
    <col min="1" max="1" width="18.5703125" style="1" customWidth="1"/>
    <col min="2" max="2" width="28" style="1" customWidth="1"/>
    <col min="3" max="3" width="21.140625" style="1" customWidth="1"/>
    <col min="4" max="4" width="21.7109375" style="1" customWidth="1"/>
    <col min="5" max="5" width="28.7109375" style="4" customWidth="1"/>
    <col min="6" max="6" width="18.28515625" style="1" customWidth="1"/>
    <col min="7" max="7" width="18.140625" style="1" customWidth="1"/>
    <col min="8" max="8" width="20.140625" style="1" customWidth="1"/>
    <col min="9" max="16384" width="9.140625" style="1"/>
  </cols>
  <sheetData>
    <row r="1" spans="1:7" ht="28.5" customHeight="1" x14ac:dyDescent="0.4">
      <c r="A1" s="96" t="s">
        <v>100</v>
      </c>
      <c r="B1" s="96"/>
      <c r="C1" s="96"/>
      <c r="D1" s="96"/>
      <c r="E1" s="96"/>
      <c r="F1" s="38"/>
    </row>
    <row r="2" spans="1:7" ht="33.75" customHeight="1" x14ac:dyDescent="0.25">
      <c r="A2" s="92" t="s">
        <v>80</v>
      </c>
      <c r="B2" s="92"/>
      <c r="C2" s="92"/>
      <c r="D2" s="97"/>
      <c r="E2" s="37" t="s">
        <v>133</v>
      </c>
      <c r="G2" s="43"/>
    </row>
    <row r="3" spans="1:7" x14ac:dyDescent="0.25">
      <c r="E3" s="3"/>
    </row>
    <row r="4" spans="1:7" ht="47.25" customHeight="1" x14ac:dyDescent="0.25">
      <c r="A4" s="56" t="s">
        <v>26</v>
      </c>
      <c r="B4" s="56"/>
      <c r="C4" s="56"/>
      <c r="D4" s="56"/>
      <c r="E4" s="34" t="s">
        <v>102</v>
      </c>
      <c r="F4" s="36"/>
    </row>
    <row r="5" spans="1:7" x14ac:dyDescent="0.25">
      <c r="A5" s="56" t="s">
        <v>27</v>
      </c>
      <c r="B5" s="56"/>
      <c r="C5" s="56"/>
      <c r="D5" s="56"/>
      <c r="E5" s="9">
        <v>80</v>
      </c>
    </row>
    <row r="6" spans="1:7" x14ac:dyDescent="0.25">
      <c r="A6" s="56" t="s">
        <v>28</v>
      </c>
      <c r="B6" s="56"/>
      <c r="C6" s="56"/>
      <c r="D6" s="56"/>
      <c r="E6" s="9">
        <v>4</v>
      </c>
    </row>
    <row r="7" spans="1:7" x14ac:dyDescent="0.25">
      <c r="A7" s="57" t="s">
        <v>29</v>
      </c>
      <c r="B7" s="57"/>
      <c r="C7" s="57"/>
      <c r="D7" s="57"/>
      <c r="E7" s="9">
        <v>8</v>
      </c>
    </row>
    <row r="8" spans="1:7" ht="17.25" customHeight="1" x14ac:dyDescent="0.25">
      <c r="A8" s="56" t="s">
        <v>6</v>
      </c>
      <c r="B8" s="56"/>
      <c r="C8" s="56"/>
      <c r="D8" s="56"/>
      <c r="E8" s="9">
        <v>45</v>
      </c>
    </row>
    <row r="9" spans="1:7" ht="17.25" customHeight="1" x14ac:dyDescent="0.25">
      <c r="A9" s="56" t="s">
        <v>30</v>
      </c>
      <c r="B9" s="56"/>
      <c r="C9" s="56"/>
      <c r="D9" s="56"/>
      <c r="E9" s="10">
        <f>ROUND(E8/60,2)</f>
        <v>0.75</v>
      </c>
    </row>
    <row r="10" spans="1:7" x14ac:dyDescent="0.25">
      <c r="A10" s="59" t="s">
        <v>31</v>
      </c>
      <c r="B10" s="60"/>
      <c r="C10" s="60"/>
      <c r="D10" s="61"/>
      <c r="E10" s="11">
        <v>72</v>
      </c>
    </row>
    <row r="11" spans="1:7" x14ac:dyDescent="0.25">
      <c r="A11" s="56" t="s">
        <v>32</v>
      </c>
      <c r="B11" s="56"/>
      <c r="C11" s="56"/>
      <c r="D11" s="56"/>
      <c r="E11" s="9">
        <v>4</v>
      </c>
    </row>
    <row r="12" spans="1:7" x14ac:dyDescent="0.25">
      <c r="A12" s="93" t="s">
        <v>93</v>
      </c>
      <c r="B12" s="94"/>
      <c r="C12" s="94"/>
      <c r="D12" s="95"/>
      <c r="E12" s="9">
        <f>E11*E9*E6</f>
        <v>12</v>
      </c>
    </row>
    <row r="13" spans="1:7" ht="15.75" customHeight="1" x14ac:dyDescent="0.25">
      <c r="A13" s="92" t="s">
        <v>53</v>
      </c>
      <c r="B13" s="92"/>
      <c r="C13" s="92"/>
      <c r="D13" s="92"/>
      <c r="E13" s="92"/>
    </row>
    <row r="14" spans="1:7" ht="15.75" customHeight="1" x14ac:dyDescent="0.25">
      <c r="A14" s="44"/>
      <c r="B14" s="44"/>
      <c r="C14" s="44"/>
      <c r="D14" s="44"/>
      <c r="E14" s="44"/>
    </row>
    <row r="15" spans="1:7" ht="23.25" customHeight="1" x14ac:dyDescent="0.25">
      <c r="A15" s="71" t="s">
        <v>16</v>
      </c>
      <c r="B15" s="71"/>
      <c r="C15" s="71"/>
      <c r="D15" s="71"/>
      <c r="E15" s="72"/>
    </row>
    <row r="16" spans="1:7" ht="15" customHeight="1" x14ac:dyDescent="0.25">
      <c r="A16" s="91" t="s">
        <v>119</v>
      </c>
      <c r="B16" s="58"/>
      <c r="C16" s="58"/>
      <c r="D16" s="58"/>
      <c r="E16" s="65">
        <v>8000</v>
      </c>
    </row>
    <row r="17" spans="1:7" ht="15" hidden="1" customHeight="1" x14ac:dyDescent="0.25">
      <c r="A17" s="62"/>
      <c r="B17" s="63"/>
      <c r="C17" s="63"/>
      <c r="D17" s="64"/>
      <c r="E17" s="66"/>
      <c r="F17" s="6"/>
    </row>
    <row r="18" spans="1:7" x14ac:dyDescent="0.25">
      <c r="A18" s="67" t="s">
        <v>103</v>
      </c>
      <c r="B18" s="67"/>
      <c r="C18" s="67"/>
      <c r="D18" s="67"/>
      <c r="E18" s="13">
        <f>0.55*E16</f>
        <v>4400</v>
      </c>
      <c r="G18" s="6"/>
    </row>
    <row r="19" spans="1:7" x14ac:dyDescent="0.25">
      <c r="A19" s="58" t="s">
        <v>96</v>
      </c>
      <c r="B19" s="58"/>
      <c r="C19" s="58"/>
      <c r="D19" s="58"/>
      <c r="E19" s="13">
        <f>E16*0.25</f>
        <v>2000</v>
      </c>
    </row>
    <row r="20" spans="1:7" hidden="1" x14ac:dyDescent="0.25">
      <c r="A20" s="58" t="s">
        <v>101</v>
      </c>
      <c r="B20" s="58"/>
      <c r="C20" s="58"/>
      <c r="D20" s="58"/>
      <c r="E20" s="13"/>
    </row>
    <row r="21" spans="1:7" x14ac:dyDescent="0.25">
      <c r="A21" s="58" t="s">
        <v>10</v>
      </c>
      <c r="B21" s="58"/>
      <c r="C21" s="58"/>
      <c r="D21" s="58"/>
      <c r="E21" s="14">
        <f>ROUND((E16+E18+E19+E20)*0.15,2)</f>
        <v>2160</v>
      </c>
    </row>
    <row r="22" spans="1:7" x14ac:dyDescent="0.25">
      <c r="A22" s="74" t="s">
        <v>11</v>
      </c>
      <c r="B22" s="74"/>
      <c r="C22" s="74"/>
      <c r="D22" s="74"/>
      <c r="E22" s="15">
        <f>SUM(E16:E21)</f>
        <v>16560</v>
      </c>
    </row>
    <row r="23" spans="1:7" x14ac:dyDescent="0.25">
      <c r="A23" s="78" t="s">
        <v>12</v>
      </c>
      <c r="B23" s="79"/>
      <c r="C23" s="79"/>
      <c r="D23" s="80"/>
      <c r="E23" s="15">
        <f>ROUND(E22/E10*E12,2)</f>
        <v>2760</v>
      </c>
    </row>
    <row r="24" spans="1:7" x14ac:dyDescent="0.25">
      <c r="A24" s="81"/>
      <c r="B24" s="81"/>
      <c r="C24" s="81"/>
      <c r="D24" s="81"/>
      <c r="E24" s="3"/>
    </row>
    <row r="25" spans="1:7" x14ac:dyDescent="0.25">
      <c r="A25" s="81"/>
      <c r="B25" s="81"/>
      <c r="C25" s="81"/>
      <c r="D25" s="81"/>
      <c r="E25" s="3"/>
    </row>
    <row r="26" spans="1:7" ht="24" customHeight="1" x14ac:dyDescent="0.25">
      <c r="A26" s="72" t="s">
        <v>17</v>
      </c>
      <c r="B26" s="72"/>
      <c r="C26" s="72"/>
      <c r="D26" s="72"/>
      <c r="E26" s="72"/>
    </row>
    <row r="27" spans="1:7" ht="35.25" customHeight="1" x14ac:dyDescent="0.25">
      <c r="A27" s="78" t="s">
        <v>13</v>
      </c>
      <c r="B27" s="79"/>
      <c r="C27" s="79"/>
      <c r="D27" s="80"/>
      <c r="E27" s="15">
        <f>ROUND(E23*0.302,2)</f>
        <v>833.52</v>
      </c>
    </row>
    <row r="28" spans="1:7" x14ac:dyDescent="0.25">
      <c r="E28" s="3"/>
    </row>
    <row r="30" spans="1:7" ht="21" customHeight="1" x14ac:dyDescent="0.25">
      <c r="A30" s="72" t="s">
        <v>21</v>
      </c>
      <c r="B30" s="72"/>
      <c r="C30" s="72"/>
      <c r="D30" s="72"/>
      <c r="E30" s="72"/>
    </row>
    <row r="31" spans="1:7" ht="15.75" customHeight="1" x14ac:dyDescent="0.25">
      <c r="A31" s="75" t="s">
        <v>135</v>
      </c>
      <c r="B31" s="76"/>
      <c r="C31" s="76"/>
      <c r="D31" s="77"/>
      <c r="E31" s="17">
        <f>32*260</f>
        <v>8320</v>
      </c>
    </row>
    <row r="32" spans="1:7" ht="15.75" customHeight="1" x14ac:dyDescent="0.25">
      <c r="A32" s="75" t="s">
        <v>123</v>
      </c>
      <c r="B32" s="76"/>
      <c r="C32" s="30"/>
      <c r="D32" s="31"/>
      <c r="E32" s="17">
        <v>5000</v>
      </c>
    </row>
    <row r="33" spans="1:5" ht="15.75" customHeight="1" x14ac:dyDescent="0.25">
      <c r="A33" s="75" t="s">
        <v>129</v>
      </c>
      <c r="B33" s="76"/>
      <c r="C33" s="76"/>
      <c r="D33" s="77"/>
      <c r="E33" s="17">
        <f>80*10</f>
        <v>800</v>
      </c>
    </row>
    <row r="34" spans="1:5" ht="15.75" customHeight="1" x14ac:dyDescent="0.25">
      <c r="A34" s="75" t="s">
        <v>130</v>
      </c>
      <c r="B34" s="76"/>
      <c r="C34" s="30"/>
      <c r="D34" s="31"/>
      <c r="E34" s="17">
        <f>80*50</f>
        <v>4000</v>
      </c>
    </row>
    <row r="35" spans="1:5" ht="15.75" customHeight="1" x14ac:dyDescent="0.25">
      <c r="A35" s="75" t="s">
        <v>128</v>
      </c>
      <c r="B35" s="76"/>
      <c r="C35" s="76"/>
      <c r="D35" s="77"/>
      <c r="E35" s="17">
        <f>20*370</f>
        <v>7400</v>
      </c>
    </row>
    <row r="36" spans="1:5" ht="15.75" customHeight="1" x14ac:dyDescent="0.25">
      <c r="A36" s="75" t="s">
        <v>131</v>
      </c>
      <c r="B36" s="76"/>
      <c r="C36" s="76"/>
      <c r="D36" s="77"/>
      <c r="E36" s="17">
        <f>6*100</f>
        <v>600</v>
      </c>
    </row>
    <row r="37" spans="1:5" ht="15.75" customHeight="1" x14ac:dyDescent="0.25">
      <c r="A37" s="75" t="s">
        <v>87</v>
      </c>
      <c r="B37" s="76"/>
      <c r="C37" s="30"/>
      <c r="D37" s="31"/>
      <c r="E37" s="17">
        <v>43000</v>
      </c>
    </row>
    <row r="38" spans="1:5" ht="15.75" customHeight="1" x14ac:dyDescent="0.25">
      <c r="A38" s="75" t="s">
        <v>81</v>
      </c>
      <c r="B38" s="76"/>
      <c r="C38" s="76"/>
      <c r="D38" s="77"/>
      <c r="E38" s="15">
        <f>SUM(E31:E37)</f>
        <v>69120</v>
      </c>
    </row>
    <row r="39" spans="1:5" x14ac:dyDescent="0.25">
      <c r="A39" s="75" t="s">
        <v>45</v>
      </c>
      <c r="B39" s="76"/>
      <c r="C39" s="76"/>
      <c r="D39" s="77"/>
      <c r="E39" s="15">
        <f>ROUND(E38/E7,2)</f>
        <v>8640</v>
      </c>
    </row>
    <row r="41" spans="1:5" hidden="1" x14ac:dyDescent="0.25">
      <c r="A41" s="72" t="s">
        <v>22</v>
      </c>
      <c r="B41" s="72"/>
      <c r="C41" s="72"/>
      <c r="D41" s="72"/>
      <c r="E41" s="72"/>
    </row>
    <row r="42" spans="1:5" ht="47.25" hidden="1" x14ac:dyDescent="0.25">
      <c r="A42" s="84" t="s">
        <v>40</v>
      </c>
      <c r="B42" s="84"/>
      <c r="C42" s="5" t="s">
        <v>24</v>
      </c>
      <c r="D42" s="5" t="s">
        <v>25</v>
      </c>
      <c r="E42" s="17" t="s">
        <v>23</v>
      </c>
    </row>
    <row r="43" spans="1:5" hidden="1" x14ac:dyDescent="0.25">
      <c r="A43" s="75" t="s">
        <v>78</v>
      </c>
      <c r="B43" s="77"/>
      <c r="C43" s="12"/>
      <c r="D43" s="18">
        <v>84</v>
      </c>
      <c r="E43" s="14">
        <f>C43/D43/E10*E9*E6*E11</f>
        <v>0</v>
      </c>
    </row>
    <row r="44" spans="1:5" hidden="1" x14ac:dyDescent="0.25">
      <c r="A44" s="75" t="s">
        <v>79</v>
      </c>
      <c r="B44" s="77"/>
      <c r="C44" s="12"/>
      <c r="D44" s="18">
        <v>84</v>
      </c>
      <c r="E44" s="14">
        <f>C44/D44/E10*E9*E6*E11</f>
        <v>0</v>
      </c>
    </row>
    <row r="45" spans="1:5" hidden="1" x14ac:dyDescent="0.25">
      <c r="A45" s="78" t="s">
        <v>44</v>
      </c>
      <c r="B45" s="79"/>
      <c r="C45" s="79"/>
      <c r="D45" s="80"/>
      <c r="E45" s="15">
        <f>E43+E44</f>
        <v>0</v>
      </c>
    </row>
    <row r="46" spans="1:5" hidden="1" x14ac:dyDescent="0.25"/>
    <row r="47" spans="1:5" x14ac:dyDescent="0.25">
      <c r="A47" s="98" t="s">
        <v>54</v>
      </c>
      <c r="B47" s="99"/>
      <c r="C47" s="99"/>
      <c r="D47" s="99"/>
      <c r="E47" s="24">
        <f>E23+E27+E39</f>
        <v>12233.52</v>
      </c>
    </row>
    <row r="49" spans="1:5" x14ac:dyDescent="0.25">
      <c r="A49" s="92" t="s">
        <v>55</v>
      </c>
      <c r="B49" s="92"/>
      <c r="C49" s="92"/>
      <c r="D49" s="92"/>
      <c r="E49" s="92"/>
    </row>
    <row r="50" spans="1:5" x14ac:dyDescent="0.25">
      <c r="A50" s="44"/>
      <c r="B50" s="44"/>
      <c r="C50" s="44"/>
      <c r="D50" s="44"/>
      <c r="E50" s="44"/>
    </row>
    <row r="51" spans="1:5" x14ac:dyDescent="0.25">
      <c r="A51" s="71" t="s">
        <v>33</v>
      </c>
      <c r="B51" s="71"/>
      <c r="C51" s="71"/>
      <c r="D51" s="71"/>
      <c r="E51" s="72"/>
    </row>
    <row r="52" spans="1:5" ht="32.25" customHeight="1" x14ac:dyDescent="0.25">
      <c r="A52" s="75" t="s">
        <v>122</v>
      </c>
      <c r="B52" s="76"/>
      <c r="C52" s="76"/>
      <c r="D52" s="77"/>
      <c r="E52" s="13">
        <f>ROUND(E53/E54,2)</f>
        <v>0.24</v>
      </c>
    </row>
    <row r="53" spans="1:5" x14ac:dyDescent="0.25">
      <c r="A53" s="75" t="s">
        <v>94</v>
      </c>
      <c r="B53" s="76"/>
      <c r="C53" s="30"/>
      <c r="D53" s="31"/>
      <c r="E53" s="13">
        <v>5163500</v>
      </c>
    </row>
    <row r="54" spans="1:5" x14ac:dyDescent="0.25">
      <c r="A54" s="32" t="s">
        <v>83</v>
      </c>
      <c r="B54" s="30"/>
      <c r="C54" s="30"/>
      <c r="D54" s="31"/>
      <c r="E54" s="13">
        <v>21814200</v>
      </c>
    </row>
    <row r="55" spans="1:5" x14ac:dyDescent="0.25">
      <c r="A55" s="58" t="s">
        <v>82</v>
      </c>
      <c r="B55" s="58"/>
      <c r="C55" s="58"/>
      <c r="D55" s="58"/>
      <c r="E55" s="15">
        <f>ROUND(E23*E52,2)</f>
        <v>662.4</v>
      </c>
    </row>
    <row r="56" spans="1:5" x14ac:dyDescent="0.25">
      <c r="A56" s="81"/>
      <c r="B56" s="81"/>
      <c r="C56" s="81"/>
      <c r="D56" s="81"/>
      <c r="E56" s="3"/>
    </row>
    <row r="57" spans="1:5" x14ac:dyDescent="0.25">
      <c r="A57" s="81"/>
      <c r="B57" s="81"/>
      <c r="C57" s="81"/>
      <c r="D57" s="81"/>
      <c r="E57" s="3"/>
    </row>
    <row r="58" spans="1:5" x14ac:dyDescent="0.25">
      <c r="A58" s="72" t="s">
        <v>17</v>
      </c>
      <c r="B58" s="72"/>
      <c r="C58" s="72"/>
      <c r="D58" s="72"/>
      <c r="E58" s="72"/>
    </row>
    <row r="59" spans="1:5" x14ac:dyDescent="0.25">
      <c r="A59" s="78" t="s">
        <v>36</v>
      </c>
      <c r="B59" s="79"/>
      <c r="C59" s="79"/>
      <c r="D59" s="80"/>
      <c r="E59" s="15">
        <f>ROUND(E55*0.302,2)</f>
        <v>200.04</v>
      </c>
    </row>
    <row r="62" spans="1:5" x14ac:dyDescent="0.25">
      <c r="A62" s="72" t="s">
        <v>37</v>
      </c>
      <c r="B62" s="72"/>
      <c r="C62" s="72"/>
      <c r="D62" s="72"/>
      <c r="E62" s="72"/>
    </row>
    <row r="63" spans="1:5" ht="15.75" customHeight="1" x14ac:dyDescent="0.25">
      <c r="A63" s="78" t="s">
        <v>39</v>
      </c>
      <c r="B63" s="79"/>
      <c r="C63" s="79"/>
      <c r="D63" s="80"/>
      <c r="E63" s="16" t="s">
        <v>38</v>
      </c>
    </row>
    <row r="64" spans="1:5" ht="15.75" customHeight="1" x14ac:dyDescent="0.25">
      <c r="A64" s="75" t="s">
        <v>85</v>
      </c>
      <c r="B64" s="79"/>
      <c r="C64" s="79"/>
      <c r="D64" s="80"/>
      <c r="E64" s="16">
        <v>8000</v>
      </c>
    </row>
    <row r="65" spans="1:7" ht="15.75" customHeight="1" x14ac:dyDescent="0.25">
      <c r="A65" s="75" t="s">
        <v>42</v>
      </c>
      <c r="B65" s="76"/>
      <c r="C65" s="76"/>
      <c r="D65" s="77"/>
      <c r="E65" s="24">
        <f>SUM(E64:E64)</f>
        <v>8000</v>
      </c>
    </row>
    <row r="66" spans="1:7" x14ac:dyDescent="0.25">
      <c r="A66" s="75" t="s">
        <v>43</v>
      </c>
      <c r="B66" s="76"/>
      <c r="C66" s="76"/>
      <c r="D66" s="77"/>
      <c r="E66" s="24">
        <f>ROUND(E65/12,2)</f>
        <v>666.67</v>
      </c>
    </row>
    <row r="68" spans="1:7" x14ac:dyDescent="0.25">
      <c r="A68" s="98" t="s">
        <v>46</v>
      </c>
      <c r="B68" s="99"/>
      <c r="C68" s="99"/>
      <c r="D68" s="100"/>
      <c r="E68" s="24">
        <f>E55+E59+E66</f>
        <v>1529.11</v>
      </c>
    </row>
    <row r="69" spans="1:7" ht="18.75" customHeight="1" x14ac:dyDescent="0.25">
      <c r="A69" s="98" t="s">
        <v>47</v>
      </c>
      <c r="B69" s="99"/>
      <c r="C69" s="99"/>
      <c r="D69" s="100"/>
      <c r="E69" s="24">
        <f>ROUND(E47/E68,2)</f>
        <v>8</v>
      </c>
    </row>
    <row r="70" spans="1:7" x14ac:dyDescent="0.25">
      <c r="A70" s="78" t="s">
        <v>48</v>
      </c>
      <c r="B70" s="79"/>
      <c r="C70" s="79"/>
      <c r="D70" s="80"/>
      <c r="E70" s="46">
        <f>ROUND(E47*E69/6,2)</f>
        <v>16311.36</v>
      </c>
    </row>
    <row r="72" spans="1:7" ht="18.75" customHeight="1" x14ac:dyDescent="0.25"/>
    <row r="73" spans="1:7" ht="31.5" customHeight="1" x14ac:dyDescent="0.25">
      <c r="A73" s="78" t="s">
        <v>64</v>
      </c>
      <c r="B73" s="79"/>
      <c r="C73" s="101" t="s">
        <v>133</v>
      </c>
      <c r="D73" s="102"/>
      <c r="E73" s="45">
        <f>E47+E70</f>
        <v>28544.880000000001</v>
      </c>
    </row>
    <row r="74" spans="1:7" x14ac:dyDescent="0.25">
      <c r="A74" s="78" t="s">
        <v>86</v>
      </c>
      <c r="B74" s="79"/>
      <c r="C74" s="79"/>
      <c r="D74" s="80"/>
      <c r="E74" s="45">
        <f>ROUND(E73*1.15,2)</f>
        <v>32826.61</v>
      </c>
    </row>
    <row r="75" spans="1:7" x14ac:dyDescent="0.25">
      <c r="A75" s="78" t="s">
        <v>49</v>
      </c>
      <c r="B75" s="79"/>
      <c r="C75" s="79"/>
      <c r="D75" s="80"/>
      <c r="E75" s="45">
        <f>ROUND(E74/E5/E11,2)</f>
        <v>102.58</v>
      </c>
    </row>
    <row r="76" spans="1:7" x14ac:dyDescent="0.25">
      <c r="A76" s="78" t="s">
        <v>50</v>
      </c>
      <c r="B76" s="79"/>
      <c r="C76" s="79"/>
      <c r="D76" s="80"/>
      <c r="E76" s="24">
        <f>ROUND(E75*E11,2)</f>
        <v>410.32</v>
      </c>
      <c r="F76" s="47"/>
      <c r="G76" s="29"/>
    </row>
    <row r="78" spans="1:7" ht="21" customHeight="1" x14ac:dyDescent="0.25">
      <c r="A78" s="78" t="s">
        <v>84</v>
      </c>
      <c r="B78" s="79"/>
      <c r="C78" s="79"/>
      <c r="D78" s="80"/>
      <c r="E78" s="48">
        <v>410</v>
      </c>
    </row>
    <row r="79" spans="1:7" ht="23.45" customHeight="1" x14ac:dyDescent="0.25"/>
    <row r="80" spans="1:7" x14ac:dyDescent="0.25">
      <c r="A80" s="1" t="s">
        <v>89</v>
      </c>
      <c r="E80" s="35" t="s">
        <v>112</v>
      </c>
    </row>
    <row r="81" spans="1:5" x14ac:dyDescent="0.25">
      <c r="E81" s="35"/>
    </row>
    <row r="82" spans="1:5" x14ac:dyDescent="0.25">
      <c r="A82" s="1" t="s">
        <v>90</v>
      </c>
      <c r="E82" s="35" t="s">
        <v>91</v>
      </c>
    </row>
    <row r="83" spans="1:5" x14ac:dyDescent="0.25">
      <c r="E83" s="35"/>
    </row>
    <row r="84" spans="1:5" x14ac:dyDescent="0.25">
      <c r="E84" s="35"/>
    </row>
    <row r="85" spans="1:5" x14ac:dyDescent="0.25">
      <c r="A85" s="1" t="s">
        <v>95</v>
      </c>
      <c r="E85" s="35"/>
    </row>
    <row r="86" spans="1:5" x14ac:dyDescent="0.25">
      <c r="A86" s="1" t="s">
        <v>92</v>
      </c>
      <c r="E86" s="35" t="s">
        <v>111</v>
      </c>
    </row>
  </sheetData>
  <mergeCells count="65">
    <mergeCell ref="A34:B34"/>
    <mergeCell ref="A74:D74"/>
    <mergeCell ref="A68:D68"/>
    <mergeCell ref="A69:D69"/>
    <mergeCell ref="A70:D70"/>
    <mergeCell ref="A73:B73"/>
    <mergeCell ref="C73:D73"/>
    <mergeCell ref="A49:E49"/>
    <mergeCell ref="A47:D47"/>
    <mergeCell ref="A41:E41"/>
    <mergeCell ref="A42:B42"/>
    <mergeCell ref="A43:B43"/>
    <mergeCell ref="A76:D76"/>
    <mergeCell ref="A78:D78"/>
    <mergeCell ref="A75:D75"/>
    <mergeCell ref="A56:D56"/>
    <mergeCell ref="A58:E58"/>
    <mergeCell ref="A59:D59"/>
    <mergeCell ref="A62:E62"/>
    <mergeCell ref="A57:D57"/>
    <mergeCell ref="A64:D64"/>
    <mergeCell ref="A63:D63"/>
    <mergeCell ref="A66:D66"/>
    <mergeCell ref="A35:D35"/>
    <mergeCell ref="A36:D36"/>
    <mergeCell ref="A37:B37"/>
    <mergeCell ref="A44:B44"/>
    <mergeCell ref="A45:D45"/>
    <mergeCell ref="A38:D38"/>
    <mergeCell ref="A39:D39"/>
    <mergeCell ref="A65:D65"/>
    <mergeCell ref="A51:E51"/>
    <mergeCell ref="A52:D52"/>
    <mergeCell ref="A55:D55"/>
    <mergeCell ref="A53:B53"/>
    <mergeCell ref="A31:D31"/>
    <mergeCell ref="A32:B32"/>
    <mergeCell ref="A33:D33"/>
    <mergeCell ref="A20:D20"/>
    <mergeCell ref="A18:D18"/>
    <mergeCell ref="A19:D19"/>
    <mergeCell ref="A21:D21"/>
    <mergeCell ref="A22:D22"/>
    <mergeCell ref="A23:D23"/>
    <mergeCell ref="A26:E26"/>
    <mergeCell ref="A24:D24"/>
    <mergeCell ref="A27:D27"/>
    <mergeCell ref="A30:E30"/>
    <mergeCell ref="A25:D25"/>
    <mergeCell ref="A1:E1"/>
    <mergeCell ref="A7:D7"/>
    <mergeCell ref="A8:D8"/>
    <mergeCell ref="A9:D9"/>
    <mergeCell ref="A4:D4"/>
    <mergeCell ref="A5:D5"/>
    <mergeCell ref="A6:D6"/>
    <mergeCell ref="A2:D2"/>
    <mergeCell ref="A16:D16"/>
    <mergeCell ref="E16:E17"/>
    <mergeCell ref="A17:D17"/>
    <mergeCell ref="A10:D10"/>
    <mergeCell ref="A11:D11"/>
    <mergeCell ref="A13:E13"/>
    <mergeCell ref="A15:E15"/>
    <mergeCell ref="A12:D12"/>
  </mergeCells>
  <phoneticPr fontId="5" type="noConversion"/>
  <pageMargins left="0.49" right="0.26" top="0.39" bottom="0.21" header="0.37" footer="0.22"/>
  <pageSetup paperSize="9" scale="80" orientation="portrait" r:id="rId1"/>
  <headerFooter alignWithMargins="0"/>
  <rowBreaks count="1" manualBreakCount="1">
    <brk id="61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G87"/>
  <sheetViews>
    <sheetView topLeftCell="A63" workbookViewId="0">
      <selection activeCell="E40" sqref="E40"/>
    </sheetView>
  </sheetViews>
  <sheetFormatPr defaultRowHeight="15.75" x14ac:dyDescent="0.25"/>
  <cols>
    <col min="1" max="1" width="18.5703125" style="1" customWidth="1"/>
    <col min="2" max="2" width="28" style="1" customWidth="1"/>
    <col min="3" max="3" width="21.140625" style="1" customWidth="1"/>
    <col min="4" max="4" width="21.7109375" style="1" customWidth="1"/>
    <col min="5" max="5" width="28.7109375" style="4" customWidth="1"/>
    <col min="6" max="6" width="18.28515625" style="1" customWidth="1"/>
    <col min="7" max="7" width="18.140625" style="1" customWidth="1"/>
    <col min="8" max="8" width="20.140625" style="1" customWidth="1"/>
    <col min="9" max="16384" width="9.140625" style="1"/>
  </cols>
  <sheetData>
    <row r="1" spans="1:7" ht="28.5" customHeight="1" x14ac:dyDescent="0.4">
      <c r="A1" s="96" t="s">
        <v>100</v>
      </c>
      <c r="B1" s="96"/>
      <c r="C1" s="96"/>
      <c r="D1" s="96"/>
      <c r="E1" s="96"/>
      <c r="F1" s="38"/>
    </row>
    <row r="2" spans="1:7" ht="33.75" customHeight="1" x14ac:dyDescent="0.25">
      <c r="A2" s="43" t="s">
        <v>80</v>
      </c>
      <c r="C2" s="43"/>
      <c r="D2" s="43"/>
      <c r="E2" s="37" t="s">
        <v>105</v>
      </c>
      <c r="G2" s="43"/>
    </row>
    <row r="3" spans="1:7" x14ac:dyDescent="0.25">
      <c r="E3" s="3"/>
    </row>
    <row r="4" spans="1:7" ht="47.25" customHeight="1" x14ac:dyDescent="0.25">
      <c r="A4" s="56" t="s">
        <v>26</v>
      </c>
      <c r="B4" s="56"/>
      <c r="C4" s="56"/>
      <c r="D4" s="56"/>
      <c r="E4" s="34" t="s">
        <v>102</v>
      </c>
      <c r="F4" s="36"/>
    </row>
    <row r="5" spans="1:7" x14ac:dyDescent="0.25">
      <c r="A5" s="56" t="s">
        <v>27</v>
      </c>
      <c r="B5" s="56"/>
      <c r="C5" s="56"/>
      <c r="D5" s="56"/>
      <c r="E5" s="9">
        <v>75</v>
      </c>
    </row>
    <row r="6" spans="1:7" x14ac:dyDescent="0.25">
      <c r="A6" s="56" t="s">
        <v>28</v>
      </c>
      <c r="B6" s="56"/>
      <c r="C6" s="56"/>
      <c r="D6" s="56"/>
      <c r="E6" s="9">
        <v>3</v>
      </c>
    </row>
    <row r="7" spans="1:7" ht="18.75" customHeight="1" x14ac:dyDescent="0.25">
      <c r="A7" s="57" t="s">
        <v>29</v>
      </c>
      <c r="B7" s="57"/>
      <c r="C7" s="57"/>
      <c r="D7" s="57"/>
      <c r="E7" s="9">
        <v>6</v>
      </c>
    </row>
    <row r="8" spans="1:7" ht="17.25" customHeight="1" x14ac:dyDescent="0.25">
      <c r="A8" s="56" t="s">
        <v>6</v>
      </c>
      <c r="B8" s="56"/>
      <c r="C8" s="56"/>
      <c r="D8" s="56"/>
      <c r="E8" s="9">
        <v>30</v>
      </c>
    </row>
    <row r="9" spans="1:7" ht="17.25" customHeight="1" x14ac:dyDescent="0.25">
      <c r="A9" s="56" t="s">
        <v>30</v>
      </c>
      <c r="B9" s="56"/>
      <c r="C9" s="56"/>
      <c r="D9" s="56"/>
      <c r="E9" s="10">
        <f>ROUND(E8/60,2)</f>
        <v>0.5</v>
      </c>
    </row>
    <row r="10" spans="1:7" x14ac:dyDescent="0.25">
      <c r="A10" s="59" t="s">
        <v>31</v>
      </c>
      <c r="B10" s="60"/>
      <c r="C10" s="60"/>
      <c r="D10" s="61"/>
      <c r="E10" s="11">
        <v>72</v>
      </c>
    </row>
    <row r="11" spans="1:7" x14ac:dyDescent="0.25">
      <c r="A11" s="56" t="s">
        <v>32</v>
      </c>
      <c r="B11" s="56"/>
      <c r="C11" s="56"/>
      <c r="D11" s="56"/>
      <c r="E11" s="9">
        <v>8</v>
      </c>
    </row>
    <row r="12" spans="1:7" x14ac:dyDescent="0.25">
      <c r="A12" s="93" t="s">
        <v>93</v>
      </c>
      <c r="B12" s="94"/>
      <c r="C12" s="94"/>
      <c r="D12" s="95"/>
      <c r="E12" s="9">
        <f>E11*E9*E6</f>
        <v>12</v>
      </c>
    </row>
    <row r="13" spans="1:7" ht="15.75" customHeight="1" x14ac:dyDescent="0.25">
      <c r="A13" s="92" t="s">
        <v>53</v>
      </c>
      <c r="B13" s="92"/>
      <c r="C13" s="92"/>
      <c r="D13" s="92"/>
      <c r="E13" s="92"/>
    </row>
    <row r="14" spans="1:7" ht="15.75" customHeight="1" x14ac:dyDescent="0.25">
      <c r="A14" s="44"/>
      <c r="B14" s="44"/>
      <c r="C14" s="44"/>
      <c r="D14" s="44"/>
      <c r="E14" s="44"/>
    </row>
    <row r="15" spans="1:7" ht="23.25" customHeight="1" x14ac:dyDescent="0.25">
      <c r="A15" s="71" t="s">
        <v>16</v>
      </c>
      <c r="B15" s="71"/>
      <c r="C15" s="71"/>
      <c r="D15" s="71"/>
      <c r="E15" s="72"/>
    </row>
    <row r="16" spans="1:7" ht="18" customHeight="1" x14ac:dyDescent="0.25">
      <c r="A16" s="91" t="s">
        <v>110</v>
      </c>
      <c r="B16" s="58"/>
      <c r="C16" s="58"/>
      <c r="D16" s="58"/>
      <c r="E16" s="65">
        <v>8000</v>
      </c>
    </row>
    <row r="17" spans="1:7" ht="15" hidden="1" customHeight="1" x14ac:dyDescent="0.25">
      <c r="A17" s="62"/>
      <c r="B17" s="63"/>
      <c r="C17" s="63"/>
      <c r="D17" s="64"/>
      <c r="E17" s="66"/>
      <c r="F17" s="6"/>
    </row>
    <row r="18" spans="1:7" x14ac:dyDescent="0.25">
      <c r="A18" s="67" t="s">
        <v>103</v>
      </c>
      <c r="B18" s="67"/>
      <c r="C18" s="67"/>
      <c r="D18" s="67"/>
      <c r="E18" s="13">
        <f>0.55*E16</f>
        <v>4400</v>
      </c>
      <c r="G18" s="6"/>
    </row>
    <row r="19" spans="1:7" x14ac:dyDescent="0.25">
      <c r="A19" s="58" t="s">
        <v>96</v>
      </c>
      <c r="B19" s="58"/>
      <c r="C19" s="58"/>
      <c r="D19" s="58"/>
      <c r="E19" s="13">
        <f>E16*0.25</f>
        <v>2000</v>
      </c>
    </row>
    <row r="20" spans="1:7" hidden="1" x14ac:dyDescent="0.25">
      <c r="A20" s="58" t="s">
        <v>101</v>
      </c>
      <c r="B20" s="58"/>
      <c r="C20" s="58"/>
      <c r="D20" s="58"/>
      <c r="E20" s="13"/>
    </row>
    <row r="21" spans="1:7" x14ac:dyDescent="0.25">
      <c r="A21" s="58" t="s">
        <v>10</v>
      </c>
      <c r="B21" s="58"/>
      <c r="C21" s="58"/>
      <c r="D21" s="58"/>
      <c r="E21" s="14">
        <f>ROUND((E16+E18+E19+E20)*0.15,2)</f>
        <v>2160</v>
      </c>
    </row>
    <row r="22" spans="1:7" x14ac:dyDescent="0.25">
      <c r="A22" s="74" t="s">
        <v>11</v>
      </c>
      <c r="B22" s="74"/>
      <c r="C22" s="74"/>
      <c r="D22" s="74"/>
      <c r="E22" s="15">
        <f>SUM(E16:E21)</f>
        <v>16560</v>
      </c>
    </row>
    <row r="23" spans="1:7" x14ac:dyDescent="0.25">
      <c r="A23" s="78" t="s">
        <v>12</v>
      </c>
      <c r="B23" s="79"/>
      <c r="C23" s="79"/>
      <c r="D23" s="80"/>
      <c r="E23" s="15">
        <f>ROUND(E22/E10*E12,2)</f>
        <v>2760</v>
      </c>
    </row>
    <row r="24" spans="1:7" x14ac:dyDescent="0.25">
      <c r="A24" s="81"/>
      <c r="B24" s="81"/>
      <c r="C24" s="81"/>
      <c r="D24" s="81"/>
      <c r="E24" s="3"/>
    </row>
    <row r="25" spans="1:7" x14ac:dyDescent="0.25">
      <c r="A25" s="81"/>
      <c r="B25" s="81"/>
      <c r="C25" s="81"/>
      <c r="D25" s="81"/>
      <c r="E25" s="3"/>
    </row>
    <row r="26" spans="1:7" ht="24" customHeight="1" x14ac:dyDescent="0.25">
      <c r="A26" s="72" t="s">
        <v>17</v>
      </c>
      <c r="B26" s="72"/>
      <c r="C26" s="72"/>
      <c r="D26" s="72"/>
      <c r="E26" s="72"/>
    </row>
    <row r="27" spans="1:7" ht="35.25" customHeight="1" x14ac:dyDescent="0.25">
      <c r="A27" s="78" t="s">
        <v>13</v>
      </c>
      <c r="B27" s="79"/>
      <c r="C27" s="79"/>
      <c r="D27" s="80"/>
      <c r="E27" s="15">
        <f>ROUND(E23*0.302,2)</f>
        <v>833.52</v>
      </c>
    </row>
    <row r="28" spans="1:7" x14ac:dyDescent="0.25">
      <c r="E28" s="3"/>
    </row>
    <row r="30" spans="1:7" ht="21" customHeight="1" x14ac:dyDescent="0.25">
      <c r="A30" s="72" t="s">
        <v>21</v>
      </c>
      <c r="B30" s="72"/>
      <c r="C30" s="72"/>
      <c r="D30" s="72"/>
      <c r="E30" s="72"/>
    </row>
    <row r="31" spans="1:7" ht="15.75" customHeight="1" x14ac:dyDescent="0.25">
      <c r="A31" s="75" t="s">
        <v>134</v>
      </c>
      <c r="B31" s="76"/>
      <c r="C31" s="76"/>
      <c r="D31" s="77"/>
      <c r="E31" s="17">
        <f>24*260</f>
        <v>6240</v>
      </c>
    </row>
    <row r="32" spans="1:7" ht="15.75" customHeight="1" x14ac:dyDescent="0.25">
      <c r="A32" s="75" t="s">
        <v>107</v>
      </c>
      <c r="B32" s="76"/>
      <c r="C32" s="76"/>
      <c r="D32" s="77"/>
      <c r="E32" s="17">
        <v>26800</v>
      </c>
    </row>
    <row r="33" spans="1:5" ht="15.75" hidden="1" customHeight="1" x14ac:dyDescent="0.25">
      <c r="A33" s="75" t="s">
        <v>104</v>
      </c>
      <c r="B33" s="76"/>
      <c r="C33" s="30"/>
      <c r="D33" s="31"/>
      <c r="E33" s="17"/>
    </row>
    <row r="34" spans="1:5" ht="15.75" hidden="1" customHeight="1" x14ac:dyDescent="0.25">
      <c r="A34" s="75" t="s">
        <v>97</v>
      </c>
      <c r="B34" s="76"/>
      <c r="C34" s="76"/>
      <c r="D34" s="77"/>
      <c r="E34" s="17"/>
    </row>
    <row r="35" spans="1:5" ht="15.75" hidden="1" customHeight="1" x14ac:dyDescent="0.25">
      <c r="A35" s="75" t="s">
        <v>98</v>
      </c>
      <c r="B35" s="76"/>
      <c r="C35" s="76"/>
      <c r="D35" s="77"/>
      <c r="E35" s="17"/>
    </row>
    <row r="36" spans="1:5" ht="15.75" customHeight="1" x14ac:dyDescent="0.25">
      <c r="A36" s="75" t="s">
        <v>116</v>
      </c>
      <c r="B36" s="76"/>
      <c r="C36" s="76"/>
      <c r="D36" s="77"/>
      <c r="E36" s="17">
        <v>14800</v>
      </c>
    </row>
    <row r="37" spans="1:5" ht="15.75" customHeight="1" x14ac:dyDescent="0.25">
      <c r="A37" s="75" t="s">
        <v>115</v>
      </c>
      <c r="B37" s="76"/>
      <c r="C37" s="76"/>
      <c r="D37" s="77"/>
      <c r="E37" s="17">
        <f>3*100</f>
        <v>300</v>
      </c>
    </row>
    <row r="38" spans="1:5" ht="15.75" customHeight="1" x14ac:dyDescent="0.25">
      <c r="A38" s="75" t="s">
        <v>114</v>
      </c>
      <c r="B38" s="76"/>
      <c r="C38" s="30"/>
      <c r="D38" s="31"/>
      <c r="E38" s="17">
        <v>800</v>
      </c>
    </row>
    <row r="39" spans="1:5" ht="15.75" customHeight="1" x14ac:dyDescent="0.25">
      <c r="A39" s="75" t="s">
        <v>81</v>
      </c>
      <c r="B39" s="76"/>
      <c r="C39" s="76"/>
      <c r="D39" s="77"/>
      <c r="E39" s="15">
        <f>SUM(E31:E38)</f>
        <v>48940</v>
      </c>
    </row>
    <row r="40" spans="1:5" x14ac:dyDescent="0.25">
      <c r="A40" s="75" t="s">
        <v>45</v>
      </c>
      <c r="B40" s="76"/>
      <c r="C40" s="76"/>
      <c r="D40" s="77"/>
      <c r="E40" s="15">
        <f>ROUND(E39/E7,2)</f>
        <v>8156.67</v>
      </c>
    </row>
    <row r="42" spans="1:5" hidden="1" x14ac:dyDescent="0.25">
      <c r="A42" s="72" t="s">
        <v>22</v>
      </c>
      <c r="B42" s="72"/>
      <c r="C42" s="72"/>
      <c r="D42" s="72"/>
      <c r="E42" s="72"/>
    </row>
    <row r="43" spans="1:5" ht="47.25" hidden="1" x14ac:dyDescent="0.25">
      <c r="A43" s="84" t="s">
        <v>40</v>
      </c>
      <c r="B43" s="84"/>
      <c r="C43" s="5" t="s">
        <v>24</v>
      </c>
      <c r="D43" s="5" t="s">
        <v>25</v>
      </c>
      <c r="E43" s="17" t="s">
        <v>23</v>
      </c>
    </row>
    <row r="44" spans="1:5" hidden="1" x14ac:dyDescent="0.25">
      <c r="A44" s="75" t="s">
        <v>78</v>
      </c>
      <c r="B44" s="77"/>
      <c r="C44" s="12"/>
      <c r="D44" s="18">
        <v>84</v>
      </c>
      <c r="E44" s="14">
        <f>C44/D44/E10*E9*E6*E11</f>
        <v>0</v>
      </c>
    </row>
    <row r="45" spans="1:5" hidden="1" x14ac:dyDescent="0.25">
      <c r="A45" s="75" t="s">
        <v>79</v>
      </c>
      <c r="B45" s="77"/>
      <c r="C45" s="12"/>
      <c r="D45" s="18">
        <v>84</v>
      </c>
      <c r="E45" s="14">
        <f>C45/D45/E10*E9*E6*E11</f>
        <v>0</v>
      </c>
    </row>
    <row r="46" spans="1:5" hidden="1" x14ac:dyDescent="0.25">
      <c r="A46" s="78" t="s">
        <v>44</v>
      </c>
      <c r="B46" s="79"/>
      <c r="C46" s="79"/>
      <c r="D46" s="80"/>
      <c r="E46" s="15">
        <f>E44+E45</f>
        <v>0</v>
      </c>
    </row>
    <row r="47" spans="1:5" hidden="1" x14ac:dyDescent="0.25"/>
    <row r="48" spans="1:5" x14ac:dyDescent="0.25">
      <c r="A48" s="98" t="s">
        <v>54</v>
      </c>
      <c r="B48" s="99"/>
      <c r="C48" s="99"/>
      <c r="D48" s="99"/>
      <c r="E48" s="45">
        <f>E23+E27+E40</f>
        <v>11750.19</v>
      </c>
    </row>
    <row r="50" spans="1:5" x14ac:dyDescent="0.25">
      <c r="A50" s="92" t="s">
        <v>55</v>
      </c>
      <c r="B50" s="92"/>
      <c r="C50" s="92"/>
      <c r="D50" s="92"/>
      <c r="E50" s="92"/>
    </row>
    <row r="51" spans="1:5" x14ac:dyDescent="0.25">
      <c r="A51" s="44"/>
      <c r="B51" s="44"/>
      <c r="C51" s="44"/>
      <c r="D51" s="44"/>
      <c r="E51" s="44"/>
    </row>
    <row r="52" spans="1:5" x14ac:dyDescent="0.25">
      <c r="A52" s="71" t="s">
        <v>33</v>
      </c>
      <c r="B52" s="71"/>
      <c r="C52" s="71"/>
      <c r="D52" s="71"/>
      <c r="E52" s="72"/>
    </row>
    <row r="53" spans="1:5" ht="33.75" customHeight="1" x14ac:dyDescent="0.25">
      <c r="A53" s="75" t="s">
        <v>113</v>
      </c>
      <c r="B53" s="76"/>
      <c r="C53" s="76"/>
      <c r="D53" s="77"/>
      <c r="E53" s="13">
        <f>ROUND(E54/E55,2)</f>
        <v>0.24</v>
      </c>
    </row>
    <row r="54" spans="1:5" x14ac:dyDescent="0.25">
      <c r="A54" s="75" t="s">
        <v>94</v>
      </c>
      <c r="B54" s="76"/>
      <c r="C54" s="30"/>
      <c r="D54" s="31"/>
      <c r="E54" s="13">
        <v>5163500</v>
      </c>
    </row>
    <row r="55" spans="1:5" x14ac:dyDescent="0.25">
      <c r="A55" s="32" t="s">
        <v>83</v>
      </c>
      <c r="B55" s="30"/>
      <c r="C55" s="30"/>
      <c r="D55" s="31"/>
      <c r="E55" s="13">
        <v>21814200</v>
      </c>
    </row>
    <row r="56" spans="1:5" x14ac:dyDescent="0.25">
      <c r="A56" s="58" t="s">
        <v>82</v>
      </c>
      <c r="B56" s="58"/>
      <c r="C56" s="58"/>
      <c r="D56" s="58"/>
      <c r="E56" s="15">
        <f>ROUND(E23*E53,2)</f>
        <v>662.4</v>
      </c>
    </row>
    <row r="57" spans="1:5" x14ac:dyDescent="0.25">
      <c r="A57" s="81"/>
      <c r="B57" s="81"/>
      <c r="C57" s="81"/>
      <c r="D57" s="81"/>
      <c r="E57" s="3"/>
    </row>
    <row r="58" spans="1:5" x14ac:dyDescent="0.25">
      <c r="A58" s="81"/>
      <c r="B58" s="81"/>
      <c r="C58" s="81"/>
      <c r="D58" s="81"/>
      <c r="E58" s="3"/>
    </row>
    <row r="59" spans="1:5" x14ac:dyDescent="0.25">
      <c r="A59" s="72" t="s">
        <v>17</v>
      </c>
      <c r="B59" s="72"/>
      <c r="C59" s="72"/>
      <c r="D59" s="72"/>
      <c r="E59" s="72"/>
    </row>
    <row r="60" spans="1:5" x14ac:dyDescent="0.25">
      <c r="A60" s="78" t="s">
        <v>36</v>
      </c>
      <c r="B60" s="79"/>
      <c r="C60" s="79"/>
      <c r="D60" s="80"/>
      <c r="E60" s="15">
        <f>ROUND(E56*0.302,2)</f>
        <v>200.04</v>
      </c>
    </row>
    <row r="63" spans="1:5" x14ac:dyDescent="0.25">
      <c r="A63" s="72" t="s">
        <v>37</v>
      </c>
      <c r="B63" s="72"/>
      <c r="C63" s="72"/>
      <c r="D63" s="72"/>
      <c r="E63" s="72"/>
    </row>
    <row r="64" spans="1:5" ht="15.75" customHeight="1" x14ac:dyDescent="0.25">
      <c r="A64" s="78" t="s">
        <v>39</v>
      </c>
      <c r="B64" s="79"/>
      <c r="C64" s="79"/>
      <c r="D64" s="80"/>
      <c r="E64" s="16" t="s">
        <v>38</v>
      </c>
    </row>
    <row r="65" spans="1:7" ht="15.75" customHeight="1" x14ac:dyDescent="0.25">
      <c r="A65" s="75" t="s">
        <v>85</v>
      </c>
      <c r="B65" s="79"/>
      <c r="C65" s="79"/>
      <c r="D65" s="80"/>
      <c r="E65" s="16">
        <v>8000</v>
      </c>
    </row>
    <row r="66" spans="1:7" ht="15.75" customHeight="1" x14ac:dyDescent="0.25">
      <c r="A66" s="75" t="s">
        <v>42</v>
      </c>
      <c r="B66" s="76"/>
      <c r="C66" s="76"/>
      <c r="D66" s="77"/>
      <c r="E66" s="24">
        <f>SUM(E65:E65)</f>
        <v>8000</v>
      </c>
    </row>
    <row r="67" spans="1:7" x14ac:dyDescent="0.25">
      <c r="A67" s="75" t="s">
        <v>43</v>
      </c>
      <c r="B67" s="76"/>
      <c r="C67" s="76"/>
      <c r="D67" s="77"/>
      <c r="E67" s="24">
        <f>ROUND(E66/12,2)</f>
        <v>666.67</v>
      </c>
    </row>
    <row r="69" spans="1:7" x14ac:dyDescent="0.25">
      <c r="A69" s="98" t="s">
        <v>46</v>
      </c>
      <c r="B69" s="99"/>
      <c r="C69" s="99"/>
      <c r="D69" s="100"/>
      <c r="E69" s="24">
        <f>E56+E60+E67</f>
        <v>1529.11</v>
      </c>
    </row>
    <row r="70" spans="1:7" x14ac:dyDescent="0.25">
      <c r="A70" s="98" t="s">
        <v>47</v>
      </c>
      <c r="B70" s="99"/>
      <c r="C70" s="99"/>
      <c r="D70" s="100"/>
      <c r="E70" s="24">
        <f>ROUND(E48/E69,2)</f>
        <v>7.68</v>
      </c>
    </row>
    <row r="71" spans="1:7" x14ac:dyDescent="0.25">
      <c r="A71" s="78" t="s">
        <v>48</v>
      </c>
      <c r="B71" s="79"/>
      <c r="C71" s="79"/>
      <c r="D71" s="80"/>
      <c r="E71" s="46">
        <f>ROUND(E48*E70/6,2)</f>
        <v>15040.24</v>
      </c>
    </row>
    <row r="73" spans="1:7" ht="18.75" customHeight="1" x14ac:dyDescent="0.25"/>
    <row r="74" spans="1:7" ht="20.25" customHeight="1" x14ac:dyDescent="0.25">
      <c r="A74" s="78" t="s">
        <v>64</v>
      </c>
      <c r="B74" s="79"/>
      <c r="C74" s="101" t="s">
        <v>105</v>
      </c>
      <c r="D74" s="102"/>
      <c r="E74" s="45">
        <f>E48+E71</f>
        <v>26790.43</v>
      </c>
    </row>
    <row r="75" spans="1:7" ht="18.75" customHeight="1" x14ac:dyDescent="0.25">
      <c r="A75" s="78" t="s">
        <v>86</v>
      </c>
      <c r="B75" s="79"/>
      <c r="C75" s="79"/>
      <c r="D75" s="80"/>
      <c r="E75" s="45">
        <f>ROUND(E74*1.15,2)</f>
        <v>30808.99</v>
      </c>
    </row>
    <row r="76" spans="1:7" ht="19.5" customHeight="1" x14ac:dyDescent="0.25">
      <c r="A76" s="78" t="s">
        <v>49</v>
      </c>
      <c r="B76" s="79"/>
      <c r="C76" s="79"/>
      <c r="D76" s="80"/>
      <c r="E76" s="45">
        <f>ROUND(E75/E5/E11,2)</f>
        <v>51.35</v>
      </c>
    </row>
    <row r="77" spans="1:7" ht="17.25" customHeight="1" x14ac:dyDescent="0.25">
      <c r="A77" s="78" t="s">
        <v>50</v>
      </c>
      <c r="B77" s="79"/>
      <c r="C77" s="79"/>
      <c r="D77" s="80"/>
      <c r="E77" s="24">
        <f>ROUND(E76*E11,2)</f>
        <v>410.8</v>
      </c>
      <c r="F77" s="47"/>
      <c r="G77" s="29"/>
    </row>
    <row r="79" spans="1:7" ht="21" customHeight="1" x14ac:dyDescent="0.25">
      <c r="A79" s="78" t="s">
        <v>84</v>
      </c>
      <c r="B79" s="79"/>
      <c r="C79" s="79"/>
      <c r="D79" s="80"/>
      <c r="E79" s="48">
        <v>410</v>
      </c>
    </row>
    <row r="80" spans="1:7" ht="23.45" customHeight="1" x14ac:dyDescent="0.25"/>
    <row r="81" spans="1:5" x14ac:dyDescent="0.25">
      <c r="A81" s="1" t="s">
        <v>89</v>
      </c>
      <c r="E81" s="35" t="s">
        <v>112</v>
      </c>
    </row>
    <row r="82" spans="1:5" x14ac:dyDescent="0.25">
      <c r="E82" s="35"/>
    </row>
    <row r="83" spans="1:5" x14ac:dyDescent="0.25">
      <c r="A83" s="1" t="s">
        <v>90</v>
      </c>
      <c r="E83" s="35" t="s">
        <v>91</v>
      </c>
    </row>
    <row r="84" spans="1:5" x14ac:dyDescent="0.25">
      <c r="E84" s="35"/>
    </row>
    <row r="85" spans="1:5" x14ac:dyDescent="0.25">
      <c r="E85" s="35"/>
    </row>
    <row r="86" spans="1:5" x14ac:dyDescent="0.25">
      <c r="A86" s="1" t="s">
        <v>95</v>
      </c>
      <c r="E86" s="35"/>
    </row>
    <row r="87" spans="1:5" x14ac:dyDescent="0.25">
      <c r="A87" s="1" t="s">
        <v>92</v>
      </c>
      <c r="E87" s="35" t="s">
        <v>111</v>
      </c>
    </row>
  </sheetData>
  <mergeCells count="65">
    <mergeCell ref="A23:D23"/>
    <mergeCell ref="A5:D5"/>
    <mergeCell ref="A6:D6"/>
    <mergeCell ref="A16:D16"/>
    <mergeCell ref="E16:E17"/>
    <mergeCell ref="A17:D17"/>
    <mergeCell ref="A1:E1"/>
    <mergeCell ref="A7:D7"/>
    <mergeCell ref="A8:D8"/>
    <mergeCell ref="A9:D9"/>
    <mergeCell ref="A4:D4"/>
    <mergeCell ref="A25:D25"/>
    <mergeCell ref="A27:D27"/>
    <mergeCell ref="A26:E26"/>
    <mergeCell ref="A31:D31"/>
    <mergeCell ref="A10:D10"/>
    <mergeCell ref="A11:D11"/>
    <mergeCell ref="A13:E13"/>
    <mergeCell ref="A15:E15"/>
    <mergeCell ref="A12:D12"/>
    <mergeCell ref="A22:D22"/>
    <mergeCell ref="A30:E30"/>
    <mergeCell ref="A24:D24"/>
    <mergeCell ref="A20:D20"/>
    <mergeCell ref="A18:D18"/>
    <mergeCell ref="A19:D19"/>
    <mergeCell ref="A21:D21"/>
    <mergeCell ref="A32:D32"/>
    <mergeCell ref="A42:E42"/>
    <mergeCell ref="A33:B33"/>
    <mergeCell ref="A34:D34"/>
    <mergeCell ref="A35:D35"/>
    <mergeCell ref="A37:D37"/>
    <mergeCell ref="A39:D39"/>
    <mergeCell ref="A40:D40"/>
    <mergeCell ref="A36:D36"/>
    <mergeCell ref="A38:B38"/>
    <mergeCell ref="A54:B54"/>
    <mergeCell ref="A50:E50"/>
    <mergeCell ref="A43:B43"/>
    <mergeCell ref="A44:B44"/>
    <mergeCell ref="A45:B45"/>
    <mergeCell ref="A46:D46"/>
    <mergeCell ref="A48:D48"/>
    <mergeCell ref="A71:D71"/>
    <mergeCell ref="A74:B74"/>
    <mergeCell ref="A64:D64"/>
    <mergeCell ref="A57:D57"/>
    <mergeCell ref="A59:E59"/>
    <mergeCell ref="A60:D60"/>
    <mergeCell ref="A63:E63"/>
    <mergeCell ref="A58:D58"/>
    <mergeCell ref="C74:D74"/>
    <mergeCell ref="A67:D67"/>
    <mergeCell ref="A65:D65"/>
    <mergeCell ref="A66:D66"/>
    <mergeCell ref="A52:E52"/>
    <mergeCell ref="A53:D53"/>
    <mergeCell ref="A56:D56"/>
    <mergeCell ref="A77:D77"/>
    <mergeCell ref="A79:D79"/>
    <mergeCell ref="A76:D76"/>
    <mergeCell ref="A75:D75"/>
    <mergeCell ref="A69:D69"/>
    <mergeCell ref="A70:D70"/>
  </mergeCells>
  <phoneticPr fontId="5" type="noConversion"/>
  <pageMargins left="0.49" right="0.26" top="0.39" bottom="0.21" header="0.37" footer="0.22"/>
  <pageSetup paperSize="9" scale="80" orientation="portrait" r:id="rId1"/>
  <headerFooter alignWithMargins="0"/>
  <rowBreaks count="1" manualBreakCount="1">
    <brk id="62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G91"/>
  <sheetViews>
    <sheetView topLeftCell="A53" workbookViewId="0">
      <selection activeCell="E90" sqref="E90"/>
    </sheetView>
  </sheetViews>
  <sheetFormatPr defaultRowHeight="15.75" x14ac:dyDescent="0.25"/>
  <cols>
    <col min="1" max="1" width="18.5703125" style="1" customWidth="1"/>
    <col min="2" max="2" width="28" style="1" customWidth="1"/>
    <col min="3" max="3" width="21.140625" style="1" customWidth="1"/>
    <col min="4" max="4" width="21.7109375" style="1" customWidth="1"/>
    <col min="5" max="5" width="28.7109375" style="4" customWidth="1"/>
    <col min="6" max="6" width="18.28515625" style="1" customWidth="1"/>
    <col min="7" max="7" width="18.140625" style="1" customWidth="1"/>
    <col min="8" max="8" width="20.140625" style="1" customWidth="1"/>
    <col min="9" max="16384" width="9.140625" style="1"/>
  </cols>
  <sheetData>
    <row r="1" spans="1:7" ht="28.5" customHeight="1" x14ac:dyDescent="0.4">
      <c r="A1" s="96" t="s">
        <v>100</v>
      </c>
      <c r="B1" s="96"/>
      <c r="C1" s="96"/>
      <c r="D1" s="96"/>
      <c r="E1" s="96"/>
      <c r="F1" s="38"/>
    </row>
    <row r="2" spans="1:7" ht="33.75" customHeight="1" x14ac:dyDescent="0.25">
      <c r="A2" s="43" t="s">
        <v>80</v>
      </c>
      <c r="C2" s="43"/>
      <c r="D2" s="43"/>
      <c r="E2" s="37" t="s">
        <v>109</v>
      </c>
      <c r="G2" s="43"/>
    </row>
    <row r="3" spans="1:7" x14ac:dyDescent="0.25">
      <c r="E3" s="3"/>
    </row>
    <row r="4" spans="1:7" ht="47.25" customHeight="1" x14ac:dyDescent="0.25">
      <c r="A4" s="56" t="s">
        <v>26</v>
      </c>
      <c r="B4" s="56"/>
      <c r="C4" s="56"/>
      <c r="D4" s="56"/>
      <c r="E4" s="34" t="s">
        <v>102</v>
      </c>
      <c r="F4" s="36"/>
    </row>
    <row r="5" spans="1:7" x14ac:dyDescent="0.25">
      <c r="A5" s="56" t="s">
        <v>27</v>
      </c>
      <c r="B5" s="56"/>
      <c r="C5" s="56"/>
      <c r="D5" s="56"/>
      <c r="E5" s="9">
        <v>280</v>
      </c>
    </row>
    <row r="6" spans="1:7" x14ac:dyDescent="0.25">
      <c r="A6" s="56" t="s">
        <v>28</v>
      </c>
      <c r="B6" s="56"/>
      <c r="C6" s="56"/>
      <c r="D6" s="56"/>
      <c r="E6" s="9">
        <v>14</v>
      </c>
    </row>
    <row r="7" spans="1:7" ht="18.75" customHeight="1" x14ac:dyDescent="0.25">
      <c r="A7" s="57" t="s">
        <v>29</v>
      </c>
      <c r="B7" s="57"/>
      <c r="C7" s="57"/>
      <c r="D7" s="57"/>
      <c r="E7" s="39">
        <v>7</v>
      </c>
    </row>
    <row r="8" spans="1:7" ht="17.25" customHeight="1" x14ac:dyDescent="0.25">
      <c r="A8" s="56" t="s">
        <v>6</v>
      </c>
      <c r="B8" s="56"/>
      <c r="C8" s="56"/>
      <c r="D8" s="56"/>
      <c r="E8" s="9">
        <v>45</v>
      </c>
    </row>
    <row r="9" spans="1:7" ht="17.25" customHeight="1" x14ac:dyDescent="0.25">
      <c r="A9" s="56" t="s">
        <v>30</v>
      </c>
      <c r="B9" s="56"/>
      <c r="C9" s="56"/>
      <c r="D9" s="56"/>
      <c r="E9" s="10">
        <f>ROUND(E8/60,2)</f>
        <v>0.75</v>
      </c>
    </row>
    <row r="10" spans="1:7" x14ac:dyDescent="0.25">
      <c r="A10" s="59" t="s">
        <v>31</v>
      </c>
      <c r="B10" s="60"/>
      <c r="C10" s="60"/>
      <c r="D10" s="61"/>
      <c r="E10" s="11">
        <v>72</v>
      </c>
    </row>
    <row r="11" spans="1:7" x14ac:dyDescent="0.25">
      <c r="A11" s="56" t="s">
        <v>32</v>
      </c>
      <c r="B11" s="56"/>
      <c r="C11" s="56"/>
      <c r="D11" s="56"/>
      <c r="E11" s="9">
        <v>4</v>
      </c>
    </row>
    <row r="12" spans="1:7" x14ac:dyDescent="0.25">
      <c r="A12" s="93" t="s">
        <v>93</v>
      </c>
      <c r="B12" s="94"/>
      <c r="C12" s="94"/>
      <c r="D12" s="95"/>
      <c r="E12" s="9">
        <f>E11*E9*E6</f>
        <v>42</v>
      </c>
    </row>
    <row r="13" spans="1:7" ht="15.75" customHeight="1" x14ac:dyDescent="0.25">
      <c r="A13" s="92" t="s">
        <v>53</v>
      </c>
      <c r="B13" s="92"/>
      <c r="C13" s="92"/>
      <c r="D13" s="92"/>
      <c r="E13" s="92"/>
    </row>
    <row r="14" spans="1:7" ht="15.75" customHeight="1" x14ac:dyDescent="0.25">
      <c r="A14" s="44"/>
      <c r="B14" s="44"/>
      <c r="C14" s="44"/>
      <c r="D14" s="44"/>
      <c r="E14" s="44"/>
    </row>
    <row r="15" spans="1:7" ht="23.25" customHeight="1" x14ac:dyDescent="0.25">
      <c r="A15" s="71" t="s">
        <v>16</v>
      </c>
      <c r="B15" s="71"/>
      <c r="C15" s="71"/>
      <c r="D15" s="71"/>
      <c r="E15" s="72"/>
    </row>
    <row r="16" spans="1:7" ht="17.25" customHeight="1" x14ac:dyDescent="0.25">
      <c r="A16" s="91" t="s">
        <v>110</v>
      </c>
      <c r="B16" s="58"/>
      <c r="C16" s="58"/>
      <c r="D16" s="58"/>
      <c r="E16" s="65">
        <v>8000</v>
      </c>
    </row>
    <row r="17" spans="1:7" ht="15" hidden="1" customHeight="1" x14ac:dyDescent="0.25">
      <c r="A17" s="62"/>
      <c r="B17" s="63"/>
      <c r="C17" s="63"/>
      <c r="D17" s="64"/>
      <c r="E17" s="66"/>
      <c r="F17" s="6"/>
    </row>
    <row r="18" spans="1:7" x14ac:dyDescent="0.25">
      <c r="A18" s="67" t="s">
        <v>103</v>
      </c>
      <c r="B18" s="67"/>
      <c r="C18" s="67"/>
      <c r="D18" s="67"/>
      <c r="E18" s="13">
        <f>0.55*E16</f>
        <v>4400</v>
      </c>
      <c r="G18" s="6"/>
    </row>
    <row r="19" spans="1:7" x14ac:dyDescent="0.25">
      <c r="A19" s="58" t="s">
        <v>96</v>
      </c>
      <c r="B19" s="58"/>
      <c r="C19" s="58"/>
      <c r="D19" s="58"/>
      <c r="E19" s="13">
        <f>E16*0.25</f>
        <v>2000</v>
      </c>
    </row>
    <row r="20" spans="1:7" hidden="1" x14ac:dyDescent="0.25">
      <c r="A20" s="58" t="s">
        <v>101</v>
      </c>
      <c r="B20" s="58"/>
      <c r="C20" s="58"/>
      <c r="D20" s="58"/>
      <c r="E20" s="13">
        <v>0</v>
      </c>
    </row>
    <row r="21" spans="1:7" x14ac:dyDescent="0.25">
      <c r="A21" s="58" t="s">
        <v>10</v>
      </c>
      <c r="B21" s="58"/>
      <c r="C21" s="58"/>
      <c r="D21" s="58"/>
      <c r="E21" s="14">
        <f>ROUND((E16+E18+E19+E20)*0.15,2)</f>
        <v>2160</v>
      </c>
    </row>
    <row r="22" spans="1:7" x14ac:dyDescent="0.25">
      <c r="A22" s="74" t="s">
        <v>11</v>
      </c>
      <c r="B22" s="74"/>
      <c r="C22" s="74"/>
      <c r="D22" s="74"/>
      <c r="E22" s="15">
        <f>SUM(E16:E21)</f>
        <v>16560</v>
      </c>
    </row>
    <row r="23" spans="1:7" x14ac:dyDescent="0.25">
      <c r="A23" s="78" t="s">
        <v>12</v>
      </c>
      <c r="B23" s="79"/>
      <c r="C23" s="79"/>
      <c r="D23" s="80"/>
      <c r="E23" s="15">
        <f>ROUND(E22/E10*E12,2)</f>
        <v>9660</v>
      </c>
    </row>
    <row r="24" spans="1:7" x14ac:dyDescent="0.25">
      <c r="A24" s="81"/>
      <c r="B24" s="81"/>
      <c r="C24" s="81"/>
      <c r="D24" s="81"/>
      <c r="E24" s="3"/>
    </row>
    <row r="25" spans="1:7" x14ac:dyDescent="0.25">
      <c r="A25" s="81"/>
      <c r="B25" s="81"/>
      <c r="C25" s="81"/>
      <c r="D25" s="81"/>
      <c r="E25" s="3"/>
    </row>
    <row r="26" spans="1:7" ht="24" customHeight="1" x14ac:dyDescent="0.25">
      <c r="A26" s="72" t="s">
        <v>17</v>
      </c>
      <c r="B26" s="72"/>
      <c r="C26" s="72"/>
      <c r="D26" s="72"/>
      <c r="E26" s="72"/>
    </row>
    <row r="27" spans="1:7" ht="35.25" customHeight="1" x14ac:dyDescent="0.25">
      <c r="A27" s="78" t="s">
        <v>13</v>
      </c>
      <c r="B27" s="79"/>
      <c r="C27" s="79"/>
      <c r="D27" s="80"/>
      <c r="E27" s="15">
        <f>ROUND(E23*0.302,2)</f>
        <v>2917.32</v>
      </c>
    </row>
    <row r="28" spans="1:7" x14ac:dyDescent="0.25">
      <c r="E28" s="3"/>
    </row>
    <row r="30" spans="1:7" ht="21" customHeight="1" x14ac:dyDescent="0.25">
      <c r="A30" s="72" t="s">
        <v>21</v>
      </c>
      <c r="B30" s="72"/>
      <c r="C30" s="72"/>
      <c r="D30" s="72"/>
      <c r="E30" s="72"/>
    </row>
    <row r="31" spans="1:7" ht="15.75" customHeight="1" x14ac:dyDescent="0.25">
      <c r="A31" s="75" t="s">
        <v>136</v>
      </c>
      <c r="B31" s="76"/>
      <c r="C31" s="76"/>
      <c r="D31" s="77"/>
      <c r="E31" s="17">
        <f>56*260</f>
        <v>14560</v>
      </c>
    </row>
    <row r="32" spans="1:7" ht="15.75" customHeight="1" x14ac:dyDescent="0.25">
      <c r="A32" s="75" t="s">
        <v>137</v>
      </c>
      <c r="B32" s="76"/>
      <c r="C32" s="76"/>
      <c r="D32" s="77"/>
      <c r="E32" s="17">
        <f>15*100</f>
        <v>1500</v>
      </c>
    </row>
    <row r="33" spans="1:5" ht="15.75" customHeight="1" x14ac:dyDescent="0.25">
      <c r="A33" s="75" t="s">
        <v>138</v>
      </c>
      <c r="B33" s="76"/>
      <c r="C33" s="76"/>
      <c r="D33" s="77"/>
      <c r="E33" s="17">
        <f>280*10</f>
        <v>2800</v>
      </c>
    </row>
    <row r="34" spans="1:5" ht="15.75" customHeight="1" x14ac:dyDescent="0.25">
      <c r="A34" s="75" t="s">
        <v>139</v>
      </c>
      <c r="B34" s="76"/>
      <c r="C34" s="30"/>
      <c r="D34" s="31"/>
      <c r="E34" s="17">
        <f>280*50</f>
        <v>14000</v>
      </c>
    </row>
    <row r="35" spans="1:5" ht="15.75" customHeight="1" x14ac:dyDescent="0.25">
      <c r="A35" s="75" t="s">
        <v>107</v>
      </c>
      <c r="B35" s="76"/>
      <c r="C35" s="76"/>
      <c r="D35" s="77"/>
      <c r="E35" s="17">
        <v>72250</v>
      </c>
    </row>
    <row r="36" spans="1:5" ht="15.75" customHeight="1" x14ac:dyDescent="0.25">
      <c r="A36" s="75" t="s">
        <v>114</v>
      </c>
      <c r="B36" s="76"/>
      <c r="C36" s="30"/>
      <c r="D36" s="31"/>
      <c r="E36" s="17">
        <v>9000</v>
      </c>
    </row>
    <row r="37" spans="1:5" ht="15.75" hidden="1" customHeight="1" x14ac:dyDescent="0.25">
      <c r="A37" s="75" t="s">
        <v>97</v>
      </c>
      <c r="B37" s="76"/>
      <c r="C37" s="76"/>
      <c r="D37" s="77"/>
      <c r="E37" s="17"/>
    </row>
    <row r="38" spans="1:5" ht="15.75" hidden="1" customHeight="1" x14ac:dyDescent="0.25">
      <c r="A38" s="75" t="s">
        <v>98</v>
      </c>
      <c r="B38" s="76"/>
      <c r="C38" s="76"/>
      <c r="D38" s="77"/>
      <c r="E38" s="17"/>
    </row>
    <row r="39" spans="1:5" ht="15.75" hidden="1" customHeight="1" x14ac:dyDescent="0.25">
      <c r="A39" s="75" t="s">
        <v>99</v>
      </c>
      <c r="B39" s="76"/>
      <c r="C39" s="76"/>
      <c r="D39" s="77"/>
      <c r="E39" s="17"/>
    </row>
    <row r="40" spans="1:5" ht="15.75" hidden="1" customHeight="1" x14ac:dyDescent="0.25">
      <c r="A40" s="75" t="s">
        <v>120</v>
      </c>
      <c r="B40" s="76"/>
      <c r="C40" s="76"/>
      <c r="D40" s="77"/>
      <c r="E40" s="17">
        <f>14*100</f>
        <v>1400</v>
      </c>
    </row>
    <row r="41" spans="1:5" ht="15.75" customHeight="1" x14ac:dyDescent="0.25">
      <c r="A41" s="75" t="s">
        <v>87</v>
      </c>
      <c r="B41" s="76"/>
      <c r="C41" s="30"/>
      <c r="D41" s="31"/>
      <c r="E41" s="17">
        <v>57000</v>
      </c>
    </row>
    <row r="42" spans="1:5" ht="15.75" hidden="1" customHeight="1" x14ac:dyDescent="0.25">
      <c r="A42" s="75" t="s">
        <v>108</v>
      </c>
      <c r="B42" s="76"/>
      <c r="C42" s="76"/>
      <c r="D42" s="77"/>
      <c r="E42" s="17">
        <v>0</v>
      </c>
    </row>
    <row r="43" spans="1:5" ht="15.75" customHeight="1" x14ac:dyDescent="0.25">
      <c r="A43" s="75" t="s">
        <v>81</v>
      </c>
      <c r="B43" s="76"/>
      <c r="C43" s="76"/>
      <c r="D43" s="77"/>
      <c r="E43" s="15">
        <f>SUM(E31:E42)</f>
        <v>172510</v>
      </c>
    </row>
    <row r="44" spans="1:5" x14ac:dyDescent="0.25">
      <c r="A44" s="75" t="s">
        <v>45</v>
      </c>
      <c r="B44" s="76"/>
      <c r="C44" s="76"/>
      <c r="D44" s="77"/>
      <c r="E44" s="15">
        <f>ROUND(E43/E7,2)</f>
        <v>24644.29</v>
      </c>
    </row>
    <row r="46" spans="1:5" hidden="1" x14ac:dyDescent="0.25">
      <c r="A46" s="72" t="s">
        <v>22</v>
      </c>
      <c r="B46" s="72"/>
      <c r="C46" s="72"/>
      <c r="D46" s="72"/>
      <c r="E46" s="72"/>
    </row>
    <row r="47" spans="1:5" ht="47.25" hidden="1" x14ac:dyDescent="0.25">
      <c r="A47" s="84" t="s">
        <v>40</v>
      </c>
      <c r="B47" s="84"/>
      <c r="C47" s="5" t="s">
        <v>24</v>
      </c>
      <c r="D47" s="5" t="s">
        <v>25</v>
      </c>
      <c r="E47" s="17" t="s">
        <v>23</v>
      </c>
    </row>
    <row r="48" spans="1:5" hidden="1" x14ac:dyDescent="0.25">
      <c r="A48" s="75" t="s">
        <v>78</v>
      </c>
      <c r="B48" s="77"/>
      <c r="C48" s="12"/>
      <c r="D48" s="18">
        <v>84</v>
      </c>
      <c r="E48" s="14">
        <f>C48/D48/E10*E9*E6*E11</f>
        <v>0</v>
      </c>
    </row>
    <row r="49" spans="1:5" hidden="1" x14ac:dyDescent="0.25">
      <c r="A49" s="75" t="s">
        <v>79</v>
      </c>
      <c r="B49" s="77"/>
      <c r="C49" s="12"/>
      <c r="D49" s="18">
        <v>84</v>
      </c>
      <c r="E49" s="14">
        <f>C49/D49/E10*E9*E6*E11</f>
        <v>0</v>
      </c>
    </row>
    <row r="50" spans="1:5" hidden="1" x14ac:dyDescent="0.25">
      <c r="A50" s="78" t="s">
        <v>44</v>
      </c>
      <c r="B50" s="79"/>
      <c r="C50" s="79"/>
      <c r="D50" s="80"/>
      <c r="E50" s="15">
        <f>E48+E49</f>
        <v>0</v>
      </c>
    </row>
    <row r="51" spans="1:5" hidden="1" x14ac:dyDescent="0.25"/>
    <row r="52" spans="1:5" x14ac:dyDescent="0.25">
      <c r="A52" s="98" t="s">
        <v>54</v>
      </c>
      <c r="B52" s="99"/>
      <c r="C52" s="99"/>
      <c r="D52" s="99"/>
      <c r="E52" s="45">
        <f>E23+E27+E44</f>
        <v>37221.61</v>
      </c>
    </row>
    <row r="54" spans="1:5" x14ac:dyDescent="0.25">
      <c r="A54" s="92" t="s">
        <v>55</v>
      </c>
      <c r="B54" s="92"/>
      <c r="C54" s="92"/>
      <c r="D54" s="92"/>
      <c r="E54" s="92"/>
    </row>
    <row r="55" spans="1:5" x14ac:dyDescent="0.25">
      <c r="A55" s="44"/>
      <c r="B55" s="44"/>
      <c r="C55" s="44"/>
      <c r="D55" s="44"/>
      <c r="E55" s="44"/>
    </row>
    <row r="56" spans="1:5" x14ac:dyDescent="0.25">
      <c r="A56" s="71" t="s">
        <v>33</v>
      </c>
      <c r="B56" s="71"/>
      <c r="C56" s="71"/>
      <c r="D56" s="71"/>
      <c r="E56" s="72"/>
    </row>
    <row r="57" spans="1:5" ht="37.5" customHeight="1" x14ac:dyDescent="0.25">
      <c r="A57" s="75" t="s">
        <v>117</v>
      </c>
      <c r="B57" s="76"/>
      <c r="C57" s="76"/>
      <c r="D57" s="77"/>
      <c r="E57" s="13">
        <f>ROUND(E58/E59,2)</f>
        <v>0.24</v>
      </c>
    </row>
    <row r="58" spans="1:5" ht="18.75" customHeight="1" x14ac:dyDescent="0.25">
      <c r="A58" s="75" t="s">
        <v>94</v>
      </c>
      <c r="B58" s="76"/>
      <c r="C58" s="30"/>
      <c r="D58" s="31"/>
      <c r="E58" s="13">
        <v>5163500</v>
      </c>
    </row>
    <row r="59" spans="1:5" ht="19.5" customHeight="1" x14ac:dyDescent="0.25">
      <c r="A59" s="32" t="s">
        <v>83</v>
      </c>
      <c r="B59" s="30"/>
      <c r="C59" s="30"/>
      <c r="D59" s="31"/>
      <c r="E59" s="13">
        <v>21814200</v>
      </c>
    </row>
    <row r="60" spans="1:5" x14ac:dyDescent="0.25">
      <c r="A60" s="58" t="s">
        <v>82</v>
      </c>
      <c r="B60" s="58"/>
      <c r="C60" s="58"/>
      <c r="D60" s="58"/>
      <c r="E60" s="15">
        <f>ROUND(E23*E57,2)</f>
        <v>2318.4</v>
      </c>
    </row>
    <row r="61" spans="1:5" x14ac:dyDescent="0.25">
      <c r="A61" s="81"/>
      <c r="B61" s="81"/>
      <c r="C61" s="81"/>
      <c r="D61" s="81"/>
      <c r="E61" s="3"/>
    </row>
    <row r="62" spans="1:5" x14ac:dyDescent="0.25">
      <c r="A62" s="81"/>
      <c r="B62" s="81"/>
      <c r="C62" s="81"/>
      <c r="D62" s="81"/>
      <c r="E62" s="3"/>
    </row>
    <row r="63" spans="1:5" x14ac:dyDescent="0.25">
      <c r="A63" s="72" t="s">
        <v>17</v>
      </c>
      <c r="B63" s="72"/>
      <c r="C63" s="72"/>
      <c r="D63" s="72"/>
      <c r="E63" s="72"/>
    </row>
    <row r="64" spans="1:5" x14ac:dyDescent="0.25">
      <c r="A64" s="78" t="s">
        <v>36</v>
      </c>
      <c r="B64" s="79"/>
      <c r="C64" s="79"/>
      <c r="D64" s="80"/>
      <c r="E64" s="15">
        <f>ROUND(E60*0.302,2)</f>
        <v>700.16</v>
      </c>
    </row>
    <row r="67" spans="1:5" x14ac:dyDescent="0.25">
      <c r="A67" s="72" t="s">
        <v>37</v>
      </c>
      <c r="B67" s="72"/>
      <c r="C67" s="72"/>
      <c r="D67" s="72"/>
      <c r="E67" s="72"/>
    </row>
    <row r="68" spans="1:5" ht="15.75" customHeight="1" x14ac:dyDescent="0.25">
      <c r="A68" s="78" t="s">
        <v>39</v>
      </c>
      <c r="B68" s="79"/>
      <c r="C68" s="79"/>
      <c r="D68" s="80"/>
      <c r="E68" s="16" t="s">
        <v>38</v>
      </c>
    </row>
    <row r="69" spans="1:5" ht="15.75" customHeight="1" x14ac:dyDescent="0.25">
      <c r="A69" s="75" t="s">
        <v>85</v>
      </c>
      <c r="B69" s="79"/>
      <c r="C69" s="79"/>
      <c r="D69" s="80"/>
      <c r="E69" s="16">
        <v>8000</v>
      </c>
    </row>
    <row r="70" spans="1:5" ht="15.75" customHeight="1" x14ac:dyDescent="0.25">
      <c r="A70" s="75" t="s">
        <v>42</v>
      </c>
      <c r="B70" s="76"/>
      <c r="C70" s="76"/>
      <c r="D70" s="77"/>
      <c r="E70" s="24">
        <f>SUM(E69:E69)</f>
        <v>8000</v>
      </c>
    </row>
    <row r="71" spans="1:5" x14ac:dyDescent="0.25">
      <c r="A71" s="75" t="s">
        <v>43</v>
      </c>
      <c r="B71" s="76"/>
      <c r="C71" s="76"/>
      <c r="D71" s="77"/>
      <c r="E71" s="24">
        <f>ROUND(E70/12,2)</f>
        <v>666.67</v>
      </c>
    </row>
    <row r="73" spans="1:5" x14ac:dyDescent="0.25">
      <c r="A73" s="98" t="s">
        <v>46</v>
      </c>
      <c r="B73" s="99"/>
      <c r="C73" s="99"/>
      <c r="D73" s="100"/>
      <c r="E73" s="24">
        <f>E60+E64+E71</f>
        <v>3685.23</v>
      </c>
    </row>
    <row r="74" spans="1:5" x14ac:dyDescent="0.25">
      <c r="A74" s="98" t="s">
        <v>47</v>
      </c>
      <c r="B74" s="99"/>
      <c r="C74" s="99"/>
      <c r="D74" s="100"/>
      <c r="E74" s="24">
        <f>ROUND(E52/E73,2)</f>
        <v>10.1</v>
      </c>
    </row>
    <row r="75" spans="1:5" x14ac:dyDescent="0.25">
      <c r="A75" s="78" t="s">
        <v>48</v>
      </c>
      <c r="B75" s="79"/>
      <c r="C75" s="79"/>
      <c r="D75" s="80"/>
      <c r="E75" s="46">
        <f>ROUND(E52*E74/6,2)</f>
        <v>62656.38</v>
      </c>
    </row>
    <row r="77" spans="1:5" ht="18.75" customHeight="1" x14ac:dyDescent="0.25"/>
    <row r="78" spans="1:5" ht="21.75" customHeight="1" x14ac:dyDescent="0.25">
      <c r="A78" s="78" t="s">
        <v>64</v>
      </c>
      <c r="B78" s="79"/>
      <c r="C78" s="101" t="s">
        <v>109</v>
      </c>
      <c r="D78" s="102"/>
      <c r="E78" s="45">
        <f>E52+E75</f>
        <v>99877.989999999991</v>
      </c>
    </row>
    <row r="79" spans="1:5" x14ac:dyDescent="0.25">
      <c r="A79" s="78" t="s">
        <v>86</v>
      </c>
      <c r="B79" s="79"/>
      <c r="C79" s="79"/>
      <c r="D79" s="80"/>
      <c r="E79" s="45">
        <f>ROUND(E78*1.15,2)</f>
        <v>114859.69</v>
      </c>
    </row>
    <row r="80" spans="1:5" x14ac:dyDescent="0.25">
      <c r="A80" s="78" t="s">
        <v>49</v>
      </c>
      <c r="B80" s="79"/>
      <c r="C80" s="79"/>
      <c r="D80" s="80"/>
      <c r="E80" s="45">
        <f>ROUND(E79/E5/E11,2)</f>
        <v>102.55</v>
      </c>
    </row>
    <row r="81" spans="1:7" x14ac:dyDescent="0.25">
      <c r="A81" s="78" t="s">
        <v>50</v>
      </c>
      <c r="B81" s="79"/>
      <c r="C81" s="79"/>
      <c r="D81" s="80"/>
      <c r="E81" s="24">
        <f>ROUND(E80*E11,2)</f>
        <v>410.2</v>
      </c>
      <c r="F81" s="47"/>
      <c r="G81" s="29"/>
    </row>
    <row r="83" spans="1:7" ht="21" customHeight="1" x14ac:dyDescent="0.25">
      <c r="A83" s="78" t="s">
        <v>84</v>
      </c>
      <c r="B83" s="79"/>
      <c r="C83" s="79"/>
      <c r="D83" s="80"/>
      <c r="E83" s="48">
        <v>410</v>
      </c>
    </row>
    <row r="84" spans="1:7" ht="23.45" customHeight="1" x14ac:dyDescent="0.25"/>
    <row r="85" spans="1:7" x14ac:dyDescent="0.25">
      <c r="A85" s="1" t="s">
        <v>89</v>
      </c>
      <c r="E85" s="35" t="s">
        <v>112</v>
      </c>
    </row>
    <row r="86" spans="1:7" x14ac:dyDescent="0.25">
      <c r="E86" s="35"/>
    </row>
    <row r="87" spans="1:7" x14ac:dyDescent="0.25">
      <c r="A87" s="1" t="s">
        <v>90</v>
      </c>
      <c r="E87" s="35" t="s">
        <v>91</v>
      </c>
    </row>
    <row r="88" spans="1:7" x14ac:dyDescent="0.25">
      <c r="E88" s="35"/>
    </row>
    <row r="89" spans="1:7" x14ac:dyDescent="0.25">
      <c r="E89" s="35"/>
    </row>
    <row r="90" spans="1:7" x14ac:dyDescent="0.25">
      <c r="A90" s="1" t="s">
        <v>95</v>
      </c>
      <c r="E90" s="35"/>
    </row>
    <row r="91" spans="1:7" x14ac:dyDescent="0.25">
      <c r="A91" s="1" t="s">
        <v>92</v>
      </c>
      <c r="E91" s="35" t="s">
        <v>111</v>
      </c>
    </row>
  </sheetData>
  <mergeCells count="69">
    <mergeCell ref="A83:D83"/>
    <mergeCell ref="A80:D80"/>
    <mergeCell ref="A78:B78"/>
    <mergeCell ref="A79:D79"/>
    <mergeCell ref="C78:D78"/>
    <mergeCell ref="A75:D75"/>
    <mergeCell ref="A81:D81"/>
    <mergeCell ref="A74:D74"/>
    <mergeCell ref="A60:D60"/>
    <mergeCell ref="A73:D73"/>
    <mergeCell ref="A67:E67"/>
    <mergeCell ref="A68:D68"/>
    <mergeCell ref="A71:D71"/>
    <mergeCell ref="A62:D62"/>
    <mergeCell ref="A69:D69"/>
    <mergeCell ref="A70:D70"/>
    <mergeCell ref="A54:E54"/>
    <mergeCell ref="A57:D57"/>
    <mergeCell ref="A58:B58"/>
    <mergeCell ref="A61:D61"/>
    <mergeCell ref="A63:E63"/>
    <mergeCell ref="A64:D64"/>
    <mergeCell ref="A52:D52"/>
    <mergeCell ref="A40:D40"/>
    <mergeCell ref="A56:E56"/>
    <mergeCell ref="A47:B47"/>
    <mergeCell ref="A48:B48"/>
    <mergeCell ref="A49:B49"/>
    <mergeCell ref="A50:D50"/>
    <mergeCell ref="A43:D43"/>
    <mergeCell ref="A44:D44"/>
    <mergeCell ref="A41:B41"/>
    <mergeCell ref="A46:E46"/>
    <mergeCell ref="A30:E30"/>
    <mergeCell ref="A36:B36"/>
    <mergeCell ref="A37:D37"/>
    <mergeCell ref="A35:D35"/>
    <mergeCell ref="A42:D42"/>
    <mergeCell ref="A38:D38"/>
    <mergeCell ref="A39:D39"/>
    <mergeCell ref="A31:D31"/>
    <mergeCell ref="A27:D27"/>
    <mergeCell ref="A18:D18"/>
    <mergeCell ref="A19:D19"/>
    <mergeCell ref="A21:D21"/>
    <mergeCell ref="A20:D20"/>
    <mergeCell ref="A32:D32"/>
    <mergeCell ref="A33:D33"/>
    <mergeCell ref="A34:B34"/>
    <mergeCell ref="A22:D22"/>
    <mergeCell ref="A24:D24"/>
    <mergeCell ref="A25:D25"/>
    <mergeCell ref="A23:D23"/>
    <mergeCell ref="A26:E26"/>
    <mergeCell ref="A1:E1"/>
    <mergeCell ref="A16:D16"/>
    <mergeCell ref="E16:E17"/>
    <mergeCell ref="A17:D17"/>
    <mergeCell ref="A7:D7"/>
    <mergeCell ref="A8:D8"/>
    <mergeCell ref="A6:D6"/>
    <mergeCell ref="A9:D9"/>
    <mergeCell ref="A4:D4"/>
    <mergeCell ref="A5:D5"/>
    <mergeCell ref="A10:D10"/>
    <mergeCell ref="A11:D11"/>
    <mergeCell ref="A13:E13"/>
    <mergeCell ref="A15:E15"/>
    <mergeCell ref="A12:D12"/>
  </mergeCells>
  <phoneticPr fontId="5" type="noConversion"/>
  <pageMargins left="0.49" right="0.26" top="0.39" bottom="0.21" header="0.37" footer="0.22"/>
  <pageSetup paperSize="9" scale="80" orientation="portrait" r:id="rId1"/>
  <headerFooter alignWithMargins="0"/>
  <rowBreaks count="1" manualBreakCount="1">
    <brk id="66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G90"/>
  <sheetViews>
    <sheetView topLeftCell="A50" workbookViewId="0">
      <selection activeCell="E42" sqref="E42"/>
    </sheetView>
  </sheetViews>
  <sheetFormatPr defaultRowHeight="15.75" x14ac:dyDescent="0.25"/>
  <cols>
    <col min="1" max="1" width="18.5703125" style="1" customWidth="1"/>
    <col min="2" max="2" width="28" style="1" customWidth="1"/>
    <col min="3" max="3" width="21.140625" style="1" customWidth="1"/>
    <col min="4" max="4" width="19.5703125" style="1" customWidth="1"/>
    <col min="5" max="5" width="31.5703125" style="4" customWidth="1"/>
    <col min="6" max="6" width="18.28515625" style="1" customWidth="1"/>
    <col min="7" max="7" width="18.140625" style="1" customWidth="1"/>
    <col min="8" max="8" width="20.140625" style="1" customWidth="1"/>
    <col min="9" max="16384" width="9.140625" style="1"/>
  </cols>
  <sheetData>
    <row r="1" spans="1:7" ht="28.5" customHeight="1" x14ac:dyDescent="0.4">
      <c r="A1" s="96" t="s">
        <v>100</v>
      </c>
      <c r="B1" s="96"/>
      <c r="C1" s="96"/>
      <c r="D1" s="96"/>
      <c r="E1" s="96"/>
      <c r="F1" s="38"/>
    </row>
    <row r="2" spans="1:7" ht="33.75" customHeight="1" x14ac:dyDescent="0.25">
      <c r="A2" s="92" t="s">
        <v>80</v>
      </c>
      <c r="B2" s="92"/>
      <c r="C2" s="92"/>
      <c r="D2" s="97"/>
      <c r="E2" s="37" t="s">
        <v>88</v>
      </c>
      <c r="G2" s="43"/>
    </row>
    <row r="3" spans="1:7" x14ac:dyDescent="0.25">
      <c r="E3" s="3"/>
    </row>
    <row r="4" spans="1:7" ht="47.25" customHeight="1" x14ac:dyDescent="0.25">
      <c r="A4" s="56" t="s">
        <v>26</v>
      </c>
      <c r="B4" s="56"/>
      <c r="C4" s="56"/>
      <c r="D4" s="56"/>
      <c r="E4" s="34" t="s">
        <v>102</v>
      </c>
      <c r="F4" s="36"/>
    </row>
    <row r="5" spans="1:7" x14ac:dyDescent="0.25">
      <c r="A5" s="56" t="s">
        <v>27</v>
      </c>
      <c r="B5" s="56"/>
      <c r="C5" s="56"/>
      <c r="D5" s="56"/>
      <c r="E5" s="9">
        <v>75</v>
      </c>
    </row>
    <row r="6" spans="1:7" x14ac:dyDescent="0.25">
      <c r="A6" s="56" t="s">
        <v>28</v>
      </c>
      <c r="B6" s="56"/>
      <c r="C6" s="56"/>
      <c r="D6" s="56"/>
      <c r="E6" s="9">
        <v>3</v>
      </c>
    </row>
    <row r="7" spans="1:7" ht="18.75" customHeight="1" x14ac:dyDescent="0.25">
      <c r="A7" s="57" t="s">
        <v>29</v>
      </c>
      <c r="B7" s="57"/>
      <c r="C7" s="57"/>
      <c r="D7" s="57"/>
      <c r="E7" s="9">
        <v>6</v>
      </c>
    </row>
    <row r="8" spans="1:7" ht="17.25" customHeight="1" x14ac:dyDescent="0.25">
      <c r="A8" s="56" t="s">
        <v>6</v>
      </c>
      <c r="B8" s="56"/>
      <c r="C8" s="56"/>
      <c r="D8" s="56"/>
      <c r="E8" s="9">
        <v>30</v>
      </c>
    </row>
    <row r="9" spans="1:7" ht="17.25" customHeight="1" x14ac:dyDescent="0.25">
      <c r="A9" s="56" t="s">
        <v>30</v>
      </c>
      <c r="B9" s="56"/>
      <c r="C9" s="56"/>
      <c r="D9" s="56"/>
      <c r="E9" s="10">
        <f>ROUND(E8/60,2)</f>
        <v>0.5</v>
      </c>
    </row>
    <row r="10" spans="1:7" x14ac:dyDescent="0.25">
      <c r="A10" s="59" t="s">
        <v>31</v>
      </c>
      <c r="B10" s="60"/>
      <c r="C10" s="60"/>
      <c r="D10" s="61"/>
      <c r="E10" s="11">
        <v>72</v>
      </c>
    </row>
    <row r="11" spans="1:7" x14ac:dyDescent="0.25">
      <c r="A11" s="56" t="s">
        <v>32</v>
      </c>
      <c r="B11" s="56"/>
      <c r="C11" s="56"/>
      <c r="D11" s="56"/>
      <c r="E11" s="9">
        <v>8</v>
      </c>
    </row>
    <row r="12" spans="1:7" x14ac:dyDescent="0.25">
      <c r="A12" s="93" t="s">
        <v>93</v>
      </c>
      <c r="B12" s="94"/>
      <c r="C12" s="94"/>
      <c r="D12" s="95"/>
      <c r="E12" s="9">
        <f>E11*E9*E6</f>
        <v>12</v>
      </c>
    </row>
    <row r="13" spans="1:7" ht="15.75" customHeight="1" x14ac:dyDescent="0.25">
      <c r="A13" s="92" t="s">
        <v>53</v>
      </c>
      <c r="B13" s="92"/>
      <c r="C13" s="92"/>
      <c r="D13" s="92"/>
      <c r="E13" s="92"/>
    </row>
    <row r="14" spans="1:7" ht="15.75" customHeight="1" x14ac:dyDescent="0.25">
      <c r="A14" s="44"/>
      <c r="B14" s="44"/>
      <c r="C14" s="44"/>
      <c r="D14" s="44"/>
      <c r="E14" s="44"/>
    </row>
    <row r="15" spans="1:7" ht="23.25" customHeight="1" x14ac:dyDescent="0.25">
      <c r="A15" s="71" t="s">
        <v>16</v>
      </c>
      <c r="B15" s="71"/>
      <c r="C15" s="71"/>
      <c r="D15" s="71"/>
      <c r="E15" s="72"/>
    </row>
    <row r="16" spans="1:7" ht="21.75" customHeight="1" x14ac:dyDescent="0.25">
      <c r="A16" s="91" t="s">
        <v>110</v>
      </c>
      <c r="B16" s="58"/>
      <c r="C16" s="58"/>
      <c r="D16" s="58"/>
      <c r="E16" s="65">
        <v>8000</v>
      </c>
    </row>
    <row r="17" spans="1:7" ht="0.75" hidden="1" customHeight="1" x14ac:dyDescent="0.25">
      <c r="A17" s="62"/>
      <c r="B17" s="63"/>
      <c r="C17" s="63"/>
      <c r="D17" s="64"/>
      <c r="E17" s="66"/>
      <c r="F17" s="6"/>
    </row>
    <row r="18" spans="1:7" x14ac:dyDescent="0.25">
      <c r="A18" s="67" t="s">
        <v>103</v>
      </c>
      <c r="B18" s="67"/>
      <c r="C18" s="67"/>
      <c r="D18" s="67"/>
      <c r="E18" s="13">
        <f>0.45*E16</f>
        <v>3600</v>
      </c>
      <c r="G18" s="6"/>
    </row>
    <row r="19" spans="1:7" x14ac:dyDescent="0.25">
      <c r="A19" s="58" t="s">
        <v>96</v>
      </c>
      <c r="B19" s="58"/>
      <c r="C19" s="58"/>
      <c r="D19" s="58"/>
      <c r="E19" s="13">
        <f>E16*0.25</f>
        <v>2000</v>
      </c>
    </row>
    <row r="20" spans="1:7" hidden="1" x14ac:dyDescent="0.25">
      <c r="A20" s="58" t="s">
        <v>118</v>
      </c>
      <c r="B20" s="58"/>
      <c r="C20" s="58"/>
      <c r="D20" s="58"/>
      <c r="E20" s="13">
        <v>0</v>
      </c>
    </row>
    <row r="21" spans="1:7" x14ac:dyDescent="0.25">
      <c r="A21" s="58" t="s">
        <v>10</v>
      </c>
      <c r="B21" s="58"/>
      <c r="C21" s="58"/>
      <c r="D21" s="58"/>
      <c r="E21" s="14">
        <f>ROUND((E16+E18+E19+E20)*0.15,2)</f>
        <v>2040</v>
      </c>
    </row>
    <row r="22" spans="1:7" x14ac:dyDescent="0.25">
      <c r="A22" s="74" t="s">
        <v>11</v>
      </c>
      <c r="B22" s="74"/>
      <c r="C22" s="74"/>
      <c r="D22" s="74"/>
      <c r="E22" s="15">
        <f>SUM(E16:E21)</f>
        <v>15640</v>
      </c>
    </row>
    <row r="23" spans="1:7" ht="33" customHeight="1" x14ac:dyDescent="0.25">
      <c r="A23" s="78" t="s">
        <v>12</v>
      </c>
      <c r="B23" s="79"/>
      <c r="C23" s="79"/>
      <c r="D23" s="80"/>
      <c r="E23" s="15">
        <f>ROUND(E22/E10*E12,2)</f>
        <v>2606.67</v>
      </c>
    </row>
    <row r="24" spans="1:7" x14ac:dyDescent="0.25">
      <c r="A24" s="81"/>
      <c r="B24" s="81"/>
      <c r="C24" s="81"/>
      <c r="D24" s="81"/>
      <c r="E24" s="3"/>
    </row>
    <row r="25" spans="1:7" x14ac:dyDescent="0.25">
      <c r="A25" s="81"/>
      <c r="B25" s="81"/>
      <c r="C25" s="81"/>
      <c r="D25" s="81"/>
      <c r="E25" s="3"/>
    </row>
    <row r="26" spans="1:7" ht="24" customHeight="1" x14ac:dyDescent="0.25">
      <c r="A26" s="72" t="s">
        <v>17</v>
      </c>
      <c r="B26" s="72"/>
      <c r="C26" s="72"/>
      <c r="D26" s="72"/>
      <c r="E26" s="72"/>
    </row>
    <row r="27" spans="1:7" ht="35.25" customHeight="1" x14ac:dyDescent="0.25">
      <c r="A27" s="78" t="s">
        <v>13</v>
      </c>
      <c r="B27" s="79"/>
      <c r="C27" s="79"/>
      <c r="D27" s="80"/>
      <c r="E27" s="15">
        <f>ROUND(E23*0.302,2)</f>
        <v>787.21</v>
      </c>
    </row>
    <row r="28" spans="1:7" x14ac:dyDescent="0.25">
      <c r="E28" s="3"/>
    </row>
    <row r="30" spans="1:7" ht="21" customHeight="1" x14ac:dyDescent="0.25">
      <c r="A30" s="72" t="s">
        <v>21</v>
      </c>
      <c r="B30" s="72"/>
      <c r="C30" s="72"/>
      <c r="D30" s="72"/>
      <c r="E30" s="72"/>
    </row>
    <row r="31" spans="1:7" ht="15.75" customHeight="1" x14ac:dyDescent="0.25">
      <c r="A31" s="75" t="s">
        <v>140</v>
      </c>
      <c r="B31" s="76"/>
      <c r="C31" s="76"/>
      <c r="D31" s="77"/>
      <c r="E31" s="17">
        <f>24*260</f>
        <v>6240</v>
      </c>
    </row>
    <row r="32" spans="1:7" ht="15.75" customHeight="1" x14ac:dyDescent="0.25">
      <c r="A32" s="75" t="s">
        <v>144</v>
      </c>
      <c r="B32" s="76"/>
      <c r="C32" s="30"/>
      <c r="D32" s="31"/>
      <c r="E32" s="17">
        <v>2500</v>
      </c>
    </row>
    <row r="33" spans="1:5" ht="15.75" customHeight="1" x14ac:dyDescent="0.25">
      <c r="A33" s="75" t="s">
        <v>126</v>
      </c>
      <c r="B33" s="76"/>
      <c r="C33" s="76"/>
      <c r="D33" s="77"/>
      <c r="E33" s="17">
        <f>75*10</f>
        <v>750</v>
      </c>
    </row>
    <row r="34" spans="1:5" ht="15.75" customHeight="1" x14ac:dyDescent="0.25">
      <c r="A34" s="75" t="s">
        <v>127</v>
      </c>
      <c r="B34" s="76"/>
      <c r="C34" s="30"/>
      <c r="D34" s="31"/>
      <c r="E34" s="17">
        <f>75*50</f>
        <v>3750</v>
      </c>
    </row>
    <row r="35" spans="1:5" ht="15.75" customHeight="1" x14ac:dyDescent="0.25">
      <c r="A35" s="75" t="s">
        <v>132</v>
      </c>
      <c r="B35" s="76"/>
      <c r="C35" s="76"/>
      <c r="D35" s="77"/>
      <c r="E35" s="17">
        <f>25*260</f>
        <v>6500</v>
      </c>
    </row>
    <row r="36" spans="1:5" ht="15.75" customHeight="1" x14ac:dyDescent="0.25">
      <c r="A36" s="75" t="s">
        <v>145</v>
      </c>
      <c r="B36" s="76"/>
      <c r="C36" s="76"/>
      <c r="D36" s="77"/>
      <c r="E36" s="17">
        <f>5*100</f>
        <v>500</v>
      </c>
    </row>
    <row r="37" spans="1:5" ht="15.75" customHeight="1" x14ac:dyDescent="0.25">
      <c r="A37" s="75" t="s">
        <v>146</v>
      </c>
      <c r="B37" s="76"/>
      <c r="C37" s="30"/>
      <c r="D37" s="31"/>
      <c r="E37" s="17">
        <v>25300</v>
      </c>
    </row>
    <row r="38" spans="1:5" ht="15.75" customHeight="1" x14ac:dyDescent="0.25">
      <c r="A38" s="75" t="s">
        <v>143</v>
      </c>
      <c r="B38" s="76"/>
      <c r="C38" s="76"/>
      <c r="D38" s="77"/>
      <c r="E38" s="17">
        <f>25*65</f>
        <v>1625</v>
      </c>
    </row>
    <row r="39" spans="1:5" ht="15.75" customHeight="1" x14ac:dyDescent="0.25">
      <c r="A39" s="75" t="s">
        <v>142</v>
      </c>
      <c r="B39" s="76"/>
      <c r="C39" s="76"/>
      <c r="D39" s="77"/>
      <c r="E39" s="17">
        <f>25*50</f>
        <v>1250</v>
      </c>
    </row>
    <row r="40" spans="1:5" ht="15.75" customHeight="1" x14ac:dyDescent="0.25">
      <c r="A40" s="75" t="s">
        <v>141</v>
      </c>
      <c r="B40" s="76"/>
      <c r="C40" s="76"/>
      <c r="D40" s="77"/>
      <c r="E40" s="17">
        <f>25*35</f>
        <v>875</v>
      </c>
    </row>
    <row r="41" spans="1:5" ht="15.75" customHeight="1" x14ac:dyDescent="0.25">
      <c r="A41" s="75" t="s">
        <v>81</v>
      </c>
      <c r="B41" s="76"/>
      <c r="C41" s="76"/>
      <c r="D41" s="77"/>
      <c r="E41" s="15">
        <f>SUM(E31:E40)</f>
        <v>49290</v>
      </c>
    </row>
    <row r="42" spans="1:5" x14ac:dyDescent="0.25">
      <c r="A42" s="75" t="s">
        <v>45</v>
      </c>
      <c r="B42" s="76"/>
      <c r="C42" s="76"/>
      <c r="D42" s="77"/>
      <c r="E42" s="15">
        <f>ROUND(E41/E7,2)</f>
        <v>8215</v>
      </c>
    </row>
    <row r="44" spans="1:5" hidden="1" x14ac:dyDescent="0.25">
      <c r="A44" s="72" t="s">
        <v>22</v>
      </c>
      <c r="B44" s="72"/>
      <c r="C44" s="72"/>
      <c r="D44" s="72"/>
      <c r="E44" s="72"/>
    </row>
    <row r="45" spans="1:5" ht="47.25" hidden="1" x14ac:dyDescent="0.25">
      <c r="A45" s="84" t="s">
        <v>40</v>
      </c>
      <c r="B45" s="84"/>
      <c r="C45" s="5" t="s">
        <v>24</v>
      </c>
      <c r="D45" s="5" t="s">
        <v>25</v>
      </c>
      <c r="E45" s="17" t="s">
        <v>23</v>
      </c>
    </row>
    <row r="46" spans="1:5" hidden="1" x14ac:dyDescent="0.25">
      <c r="A46" s="75" t="s">
        <v>78</v>
      </c>
      <c r="B46" s="77"/>
      <c r="C46" s="12"/>
      <c r="D46" s="18">
        <v>84</v>
      </c>
      <c r="E46" s="14">
        <f>C46/D46/E10*E9*E6*E11</f>
        <v>0</v>
      </c>
    </row>
    <row r="47" spans="1:5" hidden="1" x14ac:dyDescent="0.25">
      <c r="A47" s="75" t="s">
        <v>79</v>
      </c>
      <c r="B47" s="77"/>
      <c r="C47" s="12"/>
      <c r="D47" s="18">
        <v>84</v>
      </c>
      <c r="E47" s="14">
        <f>C47/D47/E10*E9*E6*E11</f>
        <v>0</v>
      </c>
    </row>
    <row r="48" spans="1:5" hidden="1" x14ac:dyDescent="0.25">
      <c r="A48" s="78" t="s">
        <v>44</v>
      </c>
      <c r="B48" s="79"/>
      <c r="C48" s="79"/>
      <c r="D48" s="80"/>
      <c r="E48" s="15">
        <f>E46+E47</f>
        <v>0</v>
      </c>
    </row>
    <row r="49" spans="1:5" hidden="1" x14ac:dyDescent="0.25"/>
    <row r="50" spans="1:5" x14ac:dyDescent="0.25">
      <c r="A50" s="98" t="s">
        <v>54</v>
      </c>
      <c r="B50" s="99"/>
      <c r="C50" s="99"/>
      <c r="D50" s="99"/>
      <c r="E50" s="24">
        <f>E23+E27+E42</f>
        <v>11608.880000000001</v>
      </c>
    </row>
    <row r="52" spans="1:5" x14ac:dyDescent="0.25">
      <c r="A52" s="92" t="s">
        <v>55</v>
      </c>
      <c r="B52" s="92"/>
      <c r="C52" s="92"/>
      <c r="D52" s="92"/>
      <c r="E52" s="92"/>
    </row>
    <row r="53" spans="1:5" x14ac:dyDescent="0.25">
      <c r="A53" s="44"/>
      <c r="B53" s="44"/>
      <c r="C53" s="44"/>
      <c r="D53" s="44"/>
      <c r="E53" s="44"/>
    </row>
    <row r="54" spans="1:5" x14ac:dyDescent="0.25">
      <c r="A54" s="71" t="s">
        <v>33</v>
      </c>
      <c r="B54" s="71"/>
      <c r="C54" s="71"/>
      <c r="D54" s="71"/>
      <c r="E54" s="72"/>
    </row>
    <row r="55" spans="1:5" ht="36" customHeight="1" x14ac:dyDescent="0.25">
      <c r="A55" s="75" t="s">
        <v>113</v>
      </c>
      <c r="B55" s="76"/>
      <c r="C55" s="76"/>
      <c r="D55" s="77"/>
      <c r="E55" s="13">
        <f>ROUND(E56/E57,2)</f>
        <v>0.24</v>
      </c>
    </row>
    <row r="56" spans="1:5" x14ac:dyDescent="0.25">
      <c r="A56" s="75" t="s">
        <v>94</v>
      </c>
      <c r="B56" s="76"/>
      <c r="C56" s="30"/>
      <c r="D56" s="31"/>
      <c r="E56" s="13">
        <v>5163500</v>
      </c>
    </row>
    <row r="57" spans="1:5" x14ac:dyDescent="0.25">
      <c r="A57" s="32" t="s">
        <v>83</v>
      </c>
      <c r="B57" s="30"/>
      <c r="C57" s="30"/>
      <c r="D57" s="31"/>
      <c r="E57" s="13">
        <v>21814200</v>
      </c>
    </row>
    <row r="58" spans="1:5" x14ac:dyDescent="0.25">
      <c r="A58" s="58" t="s">
        <v>82</v>
      </c>
      <c r="B58" s="58"/>
      <c r="C58" s="58"/>
      <c r="D58" s="58"/>
      <c r="E58" s="15">
        <f>ROUND(E23*E55,2)</f>
        <v>625.6</v>
      </c>
    </row>
    <row r="59" spans="1:5" x14ac:dyDescent="0.25">
      <c r="A59" s="81"/>
      <c r="B59" s="81"/>
      <c r="C59" s="81"/>
      <c r="D59" s="81"/>
      <c r="E59" s="3"/>
    </row>
    <row r="60" spans="1:5" x14ac:dyDescent="0.25">
      <c r="A60" s="81"/>
      <c r="B60" s="81"/>
      <c r="C60" s="81"/>
      <c r="D60" s="81"/>
      <c r="E60" s="3"/>
    </row>
    <row r="61" spans="1:5" x14ac:dyDescent="0.25">
      <c r="A61" s="72" t="s">
        <v>17</v>
      </c>
      <c r="B61" s="72"/>
      <c r="C61" s="72"/>
      <c r="D61" s="72"/>
      <c r="E61" s="72"/>
    </row>
    <row r="62" spans="1:5" x14ac:dyDescent="0.25">
      <c r="A62" s="78" t="s">
        <v>36</v>
      </c>
      <c r="B62" s="79"/>
      <c r="C62" s="79"/>
      <c r="D62" s="80"/>
      <c r="E62" s="15">
        <f>ROUND(E58*0.302,2)</f>
        <v>188.93</v>
      </c>
    </row>
    <row r="65" spans="1:7" x14ac:dyDescent="0.25">
      <c r="A65" s="72" t="s">
        <v>37</v>
      </c>
      <c r="B65" s="72"/>
      <c r="C65" s="72"/>
      <c r="D65" s="72"/>
      <c r="E65" s="72"/>
    </row>
    <row r="66" spans="1:7" ht="15.75" customHeight="1" x14ac:dyDescent="0.25">
      <c r="A66" s="78" t="s">
        <v>39</v>
      </c>
      <c r="B66" s="79"/>
      <c r="C66" s="79"/>
      <c r="D66" s="80"/>
      <c r="E66" s="16" t="s">
        <v>38</v>
      </c>
    </row>
    <row r="67" spans="1:7" ht="15.75" customHeight="1" x14ac:dyDescent="0.25">
      <c r="A67" s="75" t="s">
        <v>85</v>
      </c>
      <c r="B67" s="79"/>
      <c r="C67" s="79"/>
      <c r="D67" s="80"/>
      <c r="E67" s="16">
        <v>8000</v>
      </c>
    </row>
    <row r="68" spans="1:7" ht="15.75" customHeight="1" x14ac:dyDescent="0.25">
      <c r="A68" s="75" t="s">
        <v>42</v>
      </c>
      <c r="B68" s="76"/>
      <c r="C68" s="76"/>
      <c r="D68" s="77"/>
      <c r="E68" s="24">
        <f>SUM(E67:E67)</f>
        <v>8000</v>
      </c>
    </row>
    <row r="69" spans="1:7" x14ac:dyDescent="0.25">
      <c r="A69" s="75" t="s">
        <v>43</v>
      </c>
      <c r="B69" s="76"/>
      <c r="C69" s="76"/>
      <c r="D69" s="77"/>
      <c r="E69" s="24">
        <f>ROUND(E68/12,2)</f>
        <v>666.67</v>
      </c>
    </row>
    <row r="71" spans="1:7" x14ac:dyDescent="0.25">
      <c r="A71" s="98" t="s">
        <v>46</v>
      </c>
      <c r="B71" s="99"/>
      <c r="C71" s="99"/>
      <c r="D71" s="100"/>
      <c r="E71" s="24">
        <f>E58+E62+E69</f>
        <v>1481.1999999999998</v>
      </c>
    </row>
    <row r="72" spans="1:7" ht="34.5" customHeight="1" x14ac:dyDescent="0.25">
      <c r="A72" s="98" t="s">
        <v>47</v>
      </c>
      <c r="B72" s="99"/>
      <c r="C72" s="99"/>
      <c r="D72" s="100"/>
      <c r="E72" s="24">
        <f>ROUND(E50/E71,2)</f>
        <v>7.84</v>
      </c>
    </row>
    <row r="73" spans="1:7" x14ac:dyDescent="0.25">
      <c r="A73" s="78" t="s">
        <v>48</v>
      </c>
      <c r="B73" s="79"/>
      <c r="C73" s="79"/>
      <c r="D73" s="80"/>
      <c r="E73" s="46">
        <f>ROUND(E50*E72/6,2)</f>
        <v>15168.94</v>
      </c>
    </row>
    <row r="75" spans="1:7" ht="18.75" customHeight="1" x14ac:dyDescent="0.25"/>
    <row r="76" spans="1:7" ht="38.450000000000003" customHeight="1" x14ac:dyDescent="0.25">
      <c r="A76" s="78" t="s">
        <v>64</v>
      </c>
      <c r="B76" s="79"/>
      <c r="C76" s="101" t="s">
        <v>88</v>
      </c>
      <c r="D76" s="102"/>
      <c r="E76" s="45">
        <f>E50+E73</f>
        <v>26777.82</v>
      </c>
    </row>
    <row r="77" spans="1:7" ht="25.15" customHeight="1" x14ac:dyDescent="0.25">
      <c r="A77" s="78" t="s">
        <v>86</v>
      </c>
      <c r="B77" s="79"/>
      <c r="C77" s="79"/>
      <c r="D77" s="80"/>
      <c r="E77" s="45">
        <f>ROUND(E76*1.15,2)</f>
        <v>30794.49</v>
      </c>
    </row>
    <row r="78" spans="1:7" ht="17.25" hidden="1" customHeight="1" x14ac:dyDescent="0.25">
      <c r="A78" s="40"/>
      <c r="B78" s="41"/>
      <c r="C78" s="41"/>
      <c r="D78" s="42"/>
      <c r="E78" s="45"/>
    </row>
    <row r="79" spans="1:7" x14ac:dyDescent="0.25">
      <c r="A79" s="78" t="s">
        <v>49</v>
      </c>
      <c r="B79" s="79"/>
      <c r="C79" s="79"/>
      <c r="D79" s="80"/>
      <c r="E79" s="45">
        <f>ROUND(E77/E5/E11,2)</f>
        <v>51.32</v>
      </c>
    </row>
    <row r="80" spans="1:7" x14ac:dyDescent="0.25">
      <c r="A80" s="78" t="s">
        <v>50</v>
      </c>
      <c r="B80" s="79"/>
      <c r="C80" s="79"/>
      <c r="D80" s="80"/>
      <c r="E80" s="24">
        <f>ROUND(E79*E11,2)</f>
        <v>410.56</v>
      </c>
      <c r="F80" s="47"/>
      <c r="G80" s="29"/>
    </row>
    <row r="82" spans="1:5" ht="21" customHeight="1" x14ac:dyDescent="0.25">
      <c r="A82" s="78" t="s">
        <v>84</v>
      </c>
      <c r="B82" s="79"/>
      <c r="C82" s="79"/>
      <c r="D82" s="80"/>
      <c r="E82" s="48">
        <v>410</v>
      </c>
    </row>
    <row r="83" spans="1:5" ht="23.45" customHeight="1" x14ac:dyDescent="0.25"/>
    <row r="84" spans="1:5" x14ac:dyDescent="0.25">
      <c r="A84" s="1" t="s">
        <v>89</v>
      </c>
      <c r="E84" s="35" t="s">
        <v>112</v>
      </c>
    </row>
    <row r="85" spans="1:5" x14ac:dyDescent="0.25">
      <c r="E85" s="35"/>
    </row>
    <row r="86" spans="1:5" x14ac:dyDescent="0.25">
      <c r="A86" s="1" t="s">
        <v>90</v>
      </c>
      <c r="E86" s="35" t="s">
        <v>91</v>
      </c>
    </row>
    <row r="87" spans="1:5" x14ac:dyDescent="0.25">
      <c r="E87" s="35"/>
    </row>
    <row r="88" spans="1:5" x14ac:dyDescent="0.25">
      <c r="E88" s="35"/>
    </row>
    <row r="89" spans="1:5" x14ac:dyDescent="0.25">
      <c r="A89" s="1" t="s">
        <v>95</v>
      </c>
      <c r="E89" s="35"/>
    </row>
    <row r="90" spans="1:5" x14ac:dyDescent="0.25">
      <c r="A90" s="1" t="s">
        <v>92</v>
      </c>
      <c r="E90" s="35" t="s">
        <v>111</v>
      </c>
    </row>
  </sheetData>
  <mergeCells count="68">
    <mergeCell ref="A2:D2"/>
    <mergeCell ref="A1:E1"/>
    <mergeCell ref="A16:D16"/>
    <mergeCell ref="E16:E17"/>
    <mergeCell ref="A17:D17"/>
    <mergeCell ref="A10:D10"/>
    <mergeCell ref="A11:D11"/>
    <mergeCell ref="A13:E13"/>
    <mergeCell ref="A15:E15"/>
    <mergeCell ref="A4:D4"/>
    <mergeCell ref="A5:D5"/>
    <mergeCell ref="A6:D6"/>
    <mergeCell ref="A12:D12"/>
    <mergeCell ref="A7:D7"/>
    <mergeCell ref="A8:D8"/>
    <mergeCell ref="A9:D9"/>
    <mergeCell ref="A20:D20"/>
    <mergeCell ref="A18:D18"/>
    <mergeCell ref="A19:D19"/>
    <mergeCell ref="A21:D21"/>
    <mergeCell ref="A23:D23"/>
    <mergeCell ref="A22:D22"/>
    <mergeCell ref="A24:D24"/>
    <mergeCell ref="A52:E52"/>
    <mergeCell ref="A50:D50"/>
    <mergeCell ref="A44:E44"/>
    <mergeCell ref="A38:D38"/>
    <mergeCell ref="A39:D39"/>
    <mergeCell ref="A40:D40"/>
    <mergeCell ref="A46:B46"/>
    <mergeCell ref="A26:E26"/>
    <mergeCell ref="A30:E30"/>
    <mergeCell ref="A27:D27"/>
    <mergeCell ref="A41:D41"/>
    <mergeCell ref="A42:D42"/>
    <mergeCell ref="A25:D25"/>
    <mergeCell ref="A45:B45"/>
    <mergeCell ref="A47:B47"/>
    <mergeCell ref="C76:D76"/>
    <mergeCell ref="A68:D68"/>
    <mergeCell ref="A54:E54"/>
    <mergeCell ref="A55:D55"/>
    <mergeCell ref="A58:D58"/>
    <mergeCell ref="A56:B56"/>
    <mergeCell ref="A69:D69"/>
    <mergeCell ref="A48:D48"/>
    <mergeCell ref="A82:D82"/>
    <mergeCell ref="A79:D79"/>
    <mergeCell ref="A59:D59"/>
    <mergeCell ref="A61:E61"/>
    <mergeCell ref="A62:D62"/>
    <mergeCell ref="A65:E65"/>
    <mergeCell ref="A60:D60"/>
    <mergeCell ref="A67:D67"/>
    <mergeCell ref="A66:D66"/>
    <mergeCell ref="A77:D77"/>
    <mergeCell ref="A71:D71"/>
    <mergeCell ref="A72:D72"/>
    <mergeCell ref="A73:D73"/>
    <mergeCell ref="A76:B76"/>
    <mergeCell ref="A80:D80"/>
    <mergeCell ref="A35:D35"/>
    <mergeCell ref="A36:D36"/>
    <mergeCell ref="A37:B37"/>
    <mergeCell ref="A31:D31"/>
    <mergeCell ref="A32:B32"/>
    <mergeCell ref="A33:D33"/>
    <mergeCell ref="A34:B34"/>
  </mergeCells>
  <phoneticPr fontId="5" type="noConversion"/>
  <pageMargins left="0.49" right="0.26" top="0.39" bottom="0.21" header="0.37" footer="0.22"/>
  <pageSetup paperSize="9" scale="80" orientation="portrait" r:id="rId1"/>
  <headerFooter alignWithMargins="0"/>
  <rowBreaks count="1" manualBreakCount="1">
    <brk id="6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6</vt:i4>
      </vt:variant>
    </vt:vector>
  </HeadingPairs>
  <TitlesOfParts>
    <vt:vector size="19" baseType="lpstr">
      <vt:lpstr>швейное дело</vt:lpstr>
      <vt:lpstr>гитара</vt:lpstr>
      <vt:lpstr>аэробика</vt:lpstr>
      <vt:lpstr>хореография</vt:lpstr>
      <vt:lpstr>гимнастика</vt:lpstr>
      <vt:lpstr>Подготовка к ГИА (матем)</vt:lpstr>
      <vt:lpstr>Обучение чтению</vt:lpstr>
      <vt:lpstr>За страницами учебника</vt:lpstr>
      <vt:lpstr>ступеньки к школе</vt:lpstr>
      <vt:lpstr>Подготовка к ГИА (рус.яз)</vt:lpstr>
      <vt:lpstr>Подготовка к ГИА (обществознани</vt:lpstr>
      <vt:lpstr>Подготовка к ГИА (история)</vt:lpstr>
      <vt:lpstr>Решение заним.матем.задан</vt:lpstr>
      <vt:lpstr>'За страницами учебника'!Область_печати</vt:lpstr>
      <vt:lpstr>'Обучение чтению'!Область_печати</vt:lpstr>
      <vt:lpstr>'Подготовка к ГИА (матем)'!Область_печати</vt:lpstr>
      <vt:lpstr>'Подготовка к ГИА (рус.яз)'!Область_печати</vt:lpstr>
      <vt:lpstr>'Решение заним.матем.задан'!Область_печати</vt:lpstr>
      <vt:lpstr>'ступеньки к школе'!Область_печати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Секретарь</cp:lastModifiedBy>
  <cp:lastPrinted>2018-03-02T04:33:08Z</cp:lastPrinted>
  <dcterms:created xsi:type="dcterms:W3CDTF">1996-10-08T23:32:33Z</dcterms:created>
  <dcterms:modified xsi:type="dcterms:W3CDTF">2024-12-16T04:56:08Z</dcterms:modified>
</cp:coreProperties>
</file>